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84" yWindow="132" windowWidth="5268" windowHeight="24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22" i="1"/>
  <c r="M22"/>
  <c r="AF20"/>
  <c r="AH20"/>
  <c r="AE20" s="1"/>
  <c r="AI20" s="1"/>
  <c r="AD20"/>
  <c r="AD8" s="1"/>
  <c r="AE23"/>
  <c r="AI21"/>
  <c r="AI19"/>
  <c r="AI18"/>
  <c r="AI17"/>
  <c r="AI16"/>
  <c r="AI15"/>
  <c r="AI14"/>
  <c r="AI12"/>
  <c r="W21"/>
  <c r="AB21" s="1"/>
  <c r="X19"/>
  <c r="W19"/>
  <c r="X18"/>
  <c r="W18"/>
  <c r="W17"/>
  <c r="W16"/>
  <c r="AA15"/>
  <c r="X15" s="1"/>
  <c r="W15"/>
  <c r="X14"/>
  <c r="W14"/>
  <c r="X13"/>
  <c r="AA13"/>
  <c r="W13"/>
  <c r="W12"/>
  <c r="X11"/>
  <c r="W11"/>
  <c r="U21"/>
  <c r="P23"/>
  <c r="N21"/>
  <c r="I23"/>
  <c r="C23"/>
  <c r="G21"/>
  <c r="C20"/>
  <c r="B20"/>
  <c r="C19"/>
  <c r="B19"/>
  <c r="C18"/>
  <c r="B18"/>
  <c r="B17"/>
  <c r="C17"/>
  <c r="C16"/>
  <c r="B16"/>
  <c r="F15"/>
  <c r="C15" s="1"/>
  <c r="B15"/>
  <c r="C13"/>
  <c r="B13"/>
  <c r="C12"/>
  <c r="B12"/>
  <c r="X23"/>
  <c r="B23" l="1"/>
  <c r="AI8"/>
  <c r="AD23"/>
  <c r="AI23" s="1"/>
  <c r="AI13"/>
  <c r="AI11"/>
  <c r="W23"/>
  <c r="G8"/>
  <c r="U8"/>
  <c r="N8"/>
  <c r="AB8"/>
  <c r="Q23"/>
  <c r="J23"/>
  <c r="AI25" l="1"/>
  <c r="AJ11" s="1"/>
  <c r="N15"/>
  <c r="N23"/>
  <c r="AJ13" l="1"/>
  <c r="AJ12"/>
  <c r="AJ18"/>
  <c r="AJ20"/>
  <c r="AJ17"/>
  <c r="AJ23"/>
  <c r="AJ16"/>
  <c r="AJ19"/>
  <c r="AJ15"/>
  <c r="AJ21"/>
  <c r="AJ14"/>
  <c r="AJ25" s="1"/>
  <c r="AB17"/>
  <c r="AB16"/>
  <c r="AB11"/>
  <c r="AB13"/>
  <c r="AB12"/>
  <c r="AB14"/>
  <c r="AB23"/>
  <c r="AB15"/>
  <c r="AB18"/>
  <c r="AB19"/>
  <c r="AB20"/>
  <c r="U16"/>
  <c r="U12"/>
  <c r="U20"/>
  <c r="U18"/>
  <c r="U14"/>
  <c r="U13"/>
  <c r="N16"/>
  <c r="N11"/>
  <c r="G12"/>
  <c r="G19"/>
  <c r="G16"/>
  <c r="G23"/>
  <c r="N20"/>
  <c r="N18"/>
  <c r="N14"/>
  <c r="N13"/>
  <c r="N12"/>
  <c r="G14"/>
  <c r="G15"/>
  <c r="G18"/>
  <c r="G20"/>
  <c r="G11"/>
  <c r="G17"/>
  <c r="G13"/>
  <c r="G25" l="1"/>
  <c r="H21" s="1"/>
  <c r="AB25"/>
  <c r="U19"/>
  <c r="U15"/>
  <c r="U11"/>
  <c r="U23"/>
  <c r="U17"/>
  <c r="N19"/>
  <c r="N17"/>
  <c r="AC12" l="1"/>
  <c r="AC21"/>
  <c r="U25"/>
  <c r="V21" s="1"/>
  <c r="N25"/>
  <c r="O22" s="1"/>
  <c r="AC16"/>
  <c r="AC20"/>
  <c r="AC18"/>
  <c r="AC14"/>
  <c r="AC17"/>
  <c r="AC23"/>
  <c r="AC11"/>
  <c r="AC19"/>
  <c r="AC13"/>
  <c r="AC15"/>
  <c r="V17"/>
  <c r="H16"/>
  <c r="H15"/>
  <c r="H17"/>
  <c r="H12"/>
  <c r="H23"/>
  <c r="H14"/>
  <c r="H18"/>
  <c r="H20"/>
  <c r="H13"/>
  <c r="H19"/>
  <c r="H11"/>
  <c r="H25" l="1"/>
  <c r="O13"/>
  <c r="O21"/>
  <c r="O19"/>
  <c r="O18"/>
  <c r="O11"/>
  <c r="AC25"/>
  <c r="O23"/>
  <c r="O12"/>
  <c r="O15"/>
  <c r="O20"/>
  <c r="O16"/>
  <c r="O14"/>
  <c r="O17"/>
  <c r="V20"/>
  <c r="V18"/>
  <c r="V14"/>
  <c r="V19"/>
  <c r="V11"/>
  <c r="V13"/>
  <c r="V16"/>
  <c r="V15"/>
  <c r="V12"/>
  <c r="V23"/>
  <c r="O25" l="1"/>
  <c r="V25"/>
</calcChain>
</file>

<file path=xl/sharedStrings.xml><?xml version="1.0" encoding="utf-8"?>
<sst xmlns="http://schemas.openxmlformats.org/spreadsheetml/2006/main" count="84" uniqueCount="47">
  <si>
    <t>CONCERN</t>
  </si>
  <si>
    <t>LOC</t>
  </si>
  <si>
    <t>CC</t>
  </si>
  <si>
    <t>#Classes</t>
  </si>
  <si>
    <t>#Methods</t>
  </si>
  <si>
    <t>Adaptation</t>
  </si>
  <si>
    <t>Factory</t>
  </si>
  <si>
    <t>Glue</t>
  </si>
  <si>
    <t>Event</t>
  </si>
  <si>
    <t>Notification</t>
  </si>
  <si>
    <t>Publication</t>
  </si>
  <si>
    <t>Subscription</t>
  </si>
  <si>
    <t>Routing</t>
  </si>
  <si>
    <t>INFRASTRUCTURE</t>
  </si>
  <si>
    <t>#Interf</t>
  </si>
  <si>
    <t>LOC*CC</t>
  </si>
  <si>
    <t>TOTAL</t>
  </si>
  <si>
    <t>Percent</t>
  </si>
  <si>
    <t>Siena</t>
  </si>
  <si>
    <t>Common code is marked in bold.</t>
  </si>
  <si>
    <t>Conf &amp; Connect</t>
  </si>
  <si>
    <t>CORBA-NS</t>
  </si>
  <si>
    <t>JavaSpaces</t>
  </si>
  <si>
    <t>Protocol (TS)</t>
  </si>
  <si>
    <t>GLOSSARY</t>
  </si>
  <si>
    <t>Conversion between different data formats (e.g. Event, subscription)</t>
  </si>
  <si>
    <t>Configuration costs (e.g. initializing infrastructure components); and costs of connecting to the server</t>
  </si>
  <si>
    <t>RMI and multihreading layer necessary to support distribution and multiple users</t>
  </si>
  <si>
    <t>Creation of basic subscription language components: Filters, Patterns, Rules, Tuple filters</t>
  </si>
  <si>
    <t>Event representation (data structure)</t>
  </si>
  <si>
    <t>Code used to generate notifications (wrapping results, for example).</t>
  </si>
  <si>
    <t>Other kinds of interaction with the infrastructure other than publish/subscribe of events. In this case, the protocol is the tuple space manipulation</t>
  </si>
  <si>
    <t>Posting subscriptions and publication-time features such as filtering</t>
  </si>
  <si>
    <t>The routing of events based on subscriptions.</t>
  </si>
  <si>
    <t>Posting, parsing subscriptions and interacting with the infrastructure. Includes the implementation of filter, pattern, rule, guard, action interfaces</t>
  </si>
  <si>
    <t>Proj Total</t>
  </si>
  <si>
    <t>Is the rest of the code except the concerns we measured. For example, iterfaces, constructors and others.</t>
  </si>
  <si>
    <t>Thread &amp; Distrib.</t>
  </si>
  <si>
    <t>Analysis of Concerns per Infrastructure</t>
  </si>
  <si>
    <t>Services</t>
  </si>
  <si>
    <t>YANCEES (core)</t>
  </si>
  <si>
    <t>The event is high here due to SAX parsing.</t>
  </si>
  <si>
    <t>Thread &amp; Dist.</t>
  </si>
  <si>
    <t>YANCEES (+Content-based routing)</t>
  </si>
  <si>
    <t>CM &amp; Automat.</t>
  </si>
  <si>
    <t>Connect &amp; Conf.</t>
  </si>
  <si>
    <t>Auto Gen. Code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</si>
</sst>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4" xfId="0" applyBorder="1"/>
    <xf numFmtId="0" fontId="0" fillId="0" borderId="0" xfId="0" applyBorder="1"/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10" fontId="0" fillId="0" borderId="8" xfId="0" applyNumberForma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5" xfId="0" applyBorder="1"/>
    <xf numFmtId="2" fontId="0" fillId="0" borderId="0" xfId="0" applyNumberFormat="1" applyFont="1" applyBorder="1"/>
    <xf numFmtId="10" fontId="0" fillId="0" borderId="5" xfId="0" applyNumberFormat="1" applyFont="1" applyBorder="1"/>
    <xf numFmtId="2" fontId="1" fillId="0" borderId="0" xfId="0" applyNumberFormat="1" applyFont="1" applyBorder="1"/>
    <xf numFmtId="0" fontId="0" fillId="0" borderId="4" xfId="0" applyFont="1" applyBorder="1"/>
    <xf numFmtId="0" fontId="0" fillId="0" borderId="0" xfId="0" applyFont="1" applyBorder="1"/>
    <xf numFmtId="0" fontId="0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0" fillId="0" borderId="0" xfId="0" applyNumberFormat="1" applyFont="1" applyFill="1" applyBorder="1"/>
    <xf numFmtId="0" fontId="0" fillId="0" borderId="4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" fillId="0" borderId="4" xfId="0" applyFont="1" applyBorder="1" applyAlignment="1"/>
    <xf numFmtId="2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5" xfId="0" applyFont="1" applyBorder="1" applyAlignment="1"/>
    <xf numFmtId="0" fontId="0" fillId="0" borderId="4" xfId="0" applyFont="1" applyBorder="1" applyAlignment="1"/>
    <xf numFmtId="2" fontId="0" fillId="0" borderId="0" xfId="0" applyNumberFormat="1" applyFont="1" applyBorder="1" applyAlignment="1"/>
    <xf numFmtId="0" fontId="0" fillId="0" borderId="0" xfId="0" applyFont="1" applyBorder="1" applyAlignme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Siena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6534582482745215"/>
                  <c:y val="5.5601132319193072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5.9242247496840733E-2"/>
                  <c:y val="6.3142598012944723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0.15901890735880242"/>
                  <c:y val="4.8909249563699797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1.2380188587537677E-2"/>
                  <c:y val="-0.16269633507853404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8.8354476523767891E-2"/>
                  <c:y val="0.13150946118646178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7.9275298920968282E-2"/>
                  <c:y val="0.16720568633109356"/>
                </c:manualLayout>
              </c:layout>
              <c:showCatName val="1"/>
              <c:showPercent val="1"/>
            </c:dLbl>
            <c:dLbl>
              <c:idx val="11"/>
              <c:layout>
                <c:manualLayout>
                  <c:x val="-5.4243462622727716E-2"/>
                  <c:y val="0.1164035123881766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Sheet1!$A$11:$A$23</c:f>
              <c:strCache>
                <c:ptCount val="13"/>
                <c:pt idx="0">
                  <c:v>CM &amp; Automat.</c:v>
                </c:pt>
                <c:pt idx="1">
                  <c:v>Connect &amp; Conf.</c:v>
                </c:pt>
                <c:pt idx="2">
                  <c:v>Thread &amp; Dist.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Services</c:v>
                </c:pt>
                <c:pt idx="11">
                  <c:v>Auto Gen. Code</c:v>
                </c:pt>
                <c:pt idx="12">
                  <c:v>Glue</c:v>
                </c:pt>
              </c:strCache>
            </c:strRef>
          </c:cat>
          <c:val>
            <c:numRef>
              <c:f>Sheet1!$H$11:$H$23</c:f>
              <c:numCache>
                <c:formatCode>0.00%</c:formatCode>
                <c:ptCount val="13"/>
                <c:pt idx="0">
                  <c:v>0</c:v>
                </c:pt>
                <c:pt idx="1">
                  <c:v>0.14921612289717395</c:v>
                </c:pt>
                <c:pt idx="2">
                  <c:v>0.12706110312269275</c:v>
                </c:pt>
                <c:pt idx="3">
                  <c:v>0</c:v>
                </c:pt>
                <c:pt idx="4">
                  <c:v>3.2293058388151746E-2</c:v>
                </c:pt>
                <c:pt idx="5">
                  <c:v>3.1877219439070632E-2</c:v>
                </c:pt>
                <c:pt idx="6">
                  <c:v>0.32187854311760999</c:v>
                </c:pt>
                <c:pt idx="7">
                  <c:v>3.0886588609285032E-3</c:v>
                </c:pt>
                <c:pt idx="8">
                  <c:v>3.497843894852766E-2</c:v>
                </c:pt>
                <c:pt idx="9">
                  <c:v>0.16544387628597795</c:v>
                </c:pt>
                <c:pt idx="10">
                  <c:v>0</c:v>
                </c:pt>
                <c:pt idx="11">
                  <c:v>0</c:v>
                </c:pt>
                <c:pt idx="12">
                  <c:v>0.13416297893986678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CORBA-NS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4283804802177507E-2"/>
                  <c:y val="4.2512127083591061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1.4499854184893555E-2"/>
                  <c:y val="3.4903670418161108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2.7917152717021512E-2"/>
                  <c:y val="-3.2205136661582257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2.5543161271507742E-2"/>
                  <c:y val="-2.3560209424083782E-3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0.13316977738893737"/>
                  <c:y val="-0.19019217820285539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0.12856991834354037"/>
                  <c:y val="2.7208640804716208E-4"/>
                </c:manualLayout>
              </c:layout>
              <c:showCatName val="1"/>
              <c:showPercent val="1"/>
            </c:dLbl>
            <c:dLbl>
              <c:idx val="9"/>
              <c:layout>
                <c:manualLayout>
                  <c:x val="9.029478954019652E-3"/>
                  <c:y val="-4.6016613760976266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0003985612909491"/>
                  <c:y val="0.18465769331189621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Sheet1!$A$11:$A$23</c:f>
              <c:strCache>
                <c:ptCount val="13"/>
                <c:pt idx="0">
                  <c:v>CM &amp; Automat.</c:v>
                </c:pt>
                <c:pt idx="1">
                  <c:v>Connect &amp; Conf.</c:v>
                </c:pt>
                <c:pt idx="2">
                  <c:v>Thread &amp; Dist.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Services</c:v>
                </c:pt>
                <c:pt idx="11">
                  <c:v>Auto Gen. Code</c:v>
                </c:pt>
                <c:pt idx="12">
                  <c:v>Glue</c:v>
                </c:pt>
              </c:strCache>
            </c:strRef>
          </c:cat>
          <c:val>
            <c:numRef>
              <c:f>Sheet1!$N$11:$N$23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163445.75999999998</c:v>
                </c:pt>
                <c:pt idx="12">
                  <c:v>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JavaSpaces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3.8185331000291686E-2"/>
                  <c:y val="-1.4206895604018095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3.5688733352775351E-2"/>
                  <c:y val="4.5690934575586505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6.7827719451735297E-2"/>
                  <c:y val="-1.7454068241469823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1.8639666569456596E-2"/>
                  <c:y val="6.6678347143779805E-3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2.9998420336346816E-2"/>
                  <c:y val="-0.16051483420593371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0.19109944590259567"/>
                  <c:y val="-2.8677289029970687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7.3752065714007969E-2"/>
                  <c:y val="0.17593168982149524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Sheet1!$A$11:$A$23</c:f>
              <c:strCache>
                <c:ptCount val="13"/>
                <c:pt idx="0">
                  <c:v>CM &amp; Automat.</c:v>
                </c:pt>
                <c:pt idx="1">
                  <c:v>Connect &amp; Conf.</c:v>
                </c:pt>
                <c:pt idx="2">
                  <c:v>Thread &amp; Dist.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Services</c:v>
                </c:pt>
                <c:pt idx="11">
                  <c:v>Auto Gen. Code</c:v>
                </c:pt>
                <c:pt idx="12">
                  <c:v>Glue</c:v>
                </c:pt>
              </c:strCache>
            </c:strRef>
          </c:cat>
          <c:val>
            <c:numRef>
              <c:f>Sheet1!$U$11:$U$23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(core)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1.3493972975600272E-2"/>
                  <c:y val="-0.11455662283052316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13960046660834063"/>
                  <c:y val="-9.8288466559481175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5.5550938077184787E-2"/>
                  <c:y val="-2.2185692102623313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5.3475989112472068E-2"/>
                  <c:y val="2.5048096082230565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0.21395936619033762"/>
                  <c:y val="-1.2652705061082046E-3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-6.5340721298726617E-2"/>
                  <c:y val="-3.4467713787085562E-3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-2.0835277534752637E-2"/>
                  <c:y val="-2.2657377251927329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6656289491591328"/>
                  <c:y val="-6.4033406164543602E-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Sheet1!$A$11:$A$23</c:f>
              <c:strCache>
                <c:ptCount val="13"/>
                <c:pt idx="0">
                  <c:v>CM &amp; Automat.</c:v>
                </c:pt>
                <c:pt idx="1">
                  <c:v>Connect &amp; Conf.</c:v>
                </c:pt>
                <c:pt idx="2">
                  <c:v>Thread &amp; Dist.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Services</c:v>
                </c:pt>
                <c:pt idx="11">
                  <c:v>Auto Gen. Code</c:v>
                </c:pt>
                <c:pt idx="12">
                  <c:v>Glue</c:v>
                </c:pt>
              </c:strCache>
            </c:strRef>
          </c:cat>
          <c:val>
            <c:numRef>
              <c:f>Sheet1!$AB$11:$AB$23</c:f>
              <c:numCache>
                <c:formatCode>0.00</c:formatCode>
                <c:ptCount val="13"/>
                <c:pt idx="0">
                  <c:v>5997.5877966101689</c:v>
                </c:pt>
                <c:pt idx="1">
                  <c:v>21</c:v>
                </c:pt>
                <c:pt idx="2">
                  <c:v>1995.0709459459458</c:v>
                </c:pt>
                <c:pt idx="3">
                  <c:v>96</c:v>
                </c:pt>
                <c:pt idx="4">
                  <c:v>2717.4319444444445</c:v>
                </c:pt>
                <c:pt idx="5">
                  <c:v>37.24</c:v>
                </c:pt>
                <c:pt idx="6">
                  <c:v>73.5</c:v>
                </c:pt>
                <c:pt idx="7">
                  <c:v>217.73333333333335</c:v>
                </c:pt>
                <c:pt idx="8">
                  <c:v>443.0344827586207</c:v>
                </c:pt>
                <c:pt idx="9">
                  <c:v>269.89299999999997</c:v>
                </c:pt>
                <c:pt idx="10">
                  <c:v>25</c:v>
                </c:pt>
                <c:pt idx="12">
                  <c:v>1427.134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(Siena)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1.3493972975600272E-2"/>
                  <c:y val="-0.11455662283052316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13960046660834063"/>
                  <c:y val="-9.8288466559481216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5.5550938077184787E-2"/>
                  <c:y val="-2.2185692102623337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5.3475989112472068E-2"/>
                  <c:y val="2.5048096082230575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0.21395936619033776"/>
                  <c:y val="-1.2652705061082055E-3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-6.5340721298726645E-2"/>
                  <c:y val="-3.446771378708558E-3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-2.0835277534752658E-2"/>
                  <c:y val="-2.2657377251927357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6656289491591328"/>
                  <c:y val="-6.4033406164543644E-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Sheet1!$A$11:$A$23</c:f>
              <c:strCache>
                <c:ptCount val="13"/>
                <c:pt idx="0">
                  <c:v>CM &amp; Automat.</c:v>
                </c:pt>
                <c:pt idx="1">
                  <c:v>Connect &amp; Conf.</c:v>
                </c:pt>
                <c:pt idx="2">
                  <c:v>Thread &amp; Dist.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Services</c:v>
                </c:pt>
                <c:pt idx="11">
                  <c:v>Auto Gen. Code</c:v>
                </c:pt>
                <c:pt idx="12">
                  <c:v>Glue</c:v>
                </c:pt>
              </c:strCache>
            </c:strRef>
          </c:cat>
          <c:val>
            <c:numRef>
              <c:f>Sheet1!$AI$11:$AI$23</c:f>
              <c:numCache>
                <c:formatCode>0.00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78.099999999999994</c:v>
                </c:pt>
                <c:pt idx="6">
                  <c:v>0</c:v>
                </c:pt>
                <c:pt idx="7">
                  <c:v>0</c:v>
                </c:pt>
                <c:pt idx="8">
                  <c:v>123.19999999999999</c:v>
                </c:pt>
                <c:pt idx="9">
                  <c:v>1513.5612500000004</c:v>
                </c:pt>
                <c:pt idx="10">
                  <c:v>0</c:v>
                </c:pt>
                <c:pt idx="12">
                  <c:v>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194310</xdr:colOff>
      <xdr:row>26</xdr:row>
      <xdr:rowOff>38100</xdr:rowOff>
    </xdr:from>
    <xdr:to>
      <xdr:col>7</xdr:col>
      <xdr:colOff>413385</xdr:colOff>
      <xdr:row>42</xdr:row>
      <xdr:rowOff>53340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144780</xdr:colOff>
      <xdr:row>26</xdr:row>
      <xdr:rowOff>40005</xdr:rowOff>
    </xdr:from>
    <xdr:to>
      <xdr:col>14</xdr:col>
      <xdr:colOff>601980</xdr:colOff>
      <xdr:row>42</xdr:row>
      <xdr:rowOff>55245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240030</xdr:colOff>
      <xdr:row>26</xdr:row>
      <xdr:rowOff>49530</xdr:rowOff>
    </xdr:from>
    <xdr:to>
      <xdr:col>22</xdr:col>
      <xdr:colOff>87630</xdr:colOff>
      <xdr:row>42</xdr:row>
      <xdr:rowOff>64770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201930</xdr:colOff>
      <xdr:row>26</xdr:row>
      <xdr:rowOff>49530</xdr:rowOff>
    </xdr:from>
    <xdr:to>
      <xdr:col>29</xdr:col>
      <xdr:colOff>49530</xdr:colOff>
      <xdr:row>42</xdr:row>
      <xdr:rowOff>64770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201930</xdr:colOff>
      <xdr:row>26</xdr:row>
      <xdr:rowOff>49530</xdr:rowOff>
    </xdr:from>
    <xdr:to>
      <xdr:col>36</xdr:col>
      <xdr:colOff>49530</xdr:colOff>
      <xdr:row>42</xdr:row>
      <xdr:rowOff>64770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63"/>
  <sheetViews>
    <sheetView tabSelected="1" zoomScale="80" zoomScaleNormal="80" workbookViewId="0">
      <pane xSplit="1848" topLeftCell="E1" activePane="topRight"/>
      <selection activeCell="A10" sqref="A10"/>
      <selection pane="topRight" activeCell="I8" sqref="I8"/>
    </sheetView>
  </sheetViews>
  <sheetFormatPr defaultRowHeight="14.4"/>
  <cols>
    <col min="1" max="1" width="17.77734375" customWidth="1"/>
    <col min="2" max="2" width="10" bestFit="1" customWidth="1"/>
    <col min="3" max="3" width="11" bestFit="1" customWidth="1"/>
    <col min="7" max="7" width="9.21875" customWidth="1"/>
    <col min="14" max="14" width="9.5546875" bestFit="1" customWidth="1"/>
  </cols>
  <sheetData>
    <row r="1" spans="1:36" ht="21">
      <c r="A1" s="2" t="s">
        <v>38</v>
      </c>
      <c r="B1" s="2"/>
      <c r="C1" s="2"/>
      <c r="D1" s="2"/>
      <c r="E1" s="2"/>
      <c r="F1" s="2"/>
    </row>
    <row r="4" spans="1:36">
      <c r="A4" t="s">
        <v>19</v>
      </c>
    </row>
    <row r="6" spans="1:36">
      <c r="A6" s="1" t="s">
        <v>13</v>
      </c>
      <c r="B6" s="34" t="s">
        <v>18</v>
      </c>
      <c r="C6" s="35"/>
      <c r="D6" s="35"/>
      <c r="E6" s="35"/>
      <c r="F6" s="35"/>
      <c r="G6" s="35"/>
      <c r="H6" s="36"/>
      <c r="I6" s="34" t="s">
        <v>21</v>
      </c>
      <c r="J6" s="35"/>
      <c r="K6" s="35"/>
      <c r="L6" s="35"/>
      <c r="M6" s="35"/>
      <c r="N6" s="35"/>
      <c r="O6" s="36"/>
      <c r="P6" s="34" t="s">
        <v>22</v>
      </c>
      <c r="Q6" s="35"/>
      <c r="R6" s="35"/>
      <c r="S6" s="35"/>
      <c r="T6" s="35"/>
      <c r="U6" s="35"/>
      <c r="V6" s="36"/>
      <c r="W6" s="34" t="s">
        <v>40</v>
      </c>
      <c r="X6" s="35"/>
      <c r="Y6" s="35"/>
      <c r="Z6" s="35"/>
      <c r="AA6" s="35"/>
      <c r="AB6" s="35"/>
      <c r="AC6" s="36"/>
      <c r="AD6" s="34" t="s">
        <v>43</v>
      </c>
      <c r="AE6" s="35"/>
      <c r="AF6" s="35"/>
      <c r="AG6" s="35"/>
      <c r="AH6" s="35"/>
      <c r="AI6" s="35"/>
      <c r="AJ6" s="36"/>
    </row>
    <row r="7" spans="1:36">
      <c r="A7" s="1" t="s">
        <v>0</v>
      </c>
      <c r="B7" s="11" t="s">
        <v>1</v>
      </c>
      <c r="C7" s="12" t="s">
        <v>2</v>
      </c>
      <c r="D7" s="12" t="s">
        <v>3</v>
      </c>
      <c r="E7" s="12" t="s">
        <v>14</v>
      </c>
      <c r="F7" s="12" t="s">
        <v>4</v>
      </c>
      <c r="G7" s="12" t="s">
        <v>15</v>
      </c>
      <c r="H7" s="13" t="s">
        <v>17</v>
      </c>
      <c r="I7" s="11" t="s">
        <v>1</v>
      </c>
      <c r="J7" s="12" t="s">
        <v>2</v>
      </c>
      <c r="K7" s="12" t="s">
        <v>3</v>
      </c>
      <c r="L7" s="12" t="s">
        <v>14</v>
      </c>
      <c r="M7" s="12" t="s">
        <v>4</v>
      </c>
      <c r="N7" s="12" t="s">
        <v>15</v>
      </c>
      <c r="O7" s="13" t="s">
        <v>17</v>
      </c>
      <c r="P7" s="11" t="s">
        <v>1</v>
      </c>
      <c r="Q7" s="12" t="s">
        <v>2</v>
      </c>
      <c r="R7" s="12" t="s">
        <v>3</v>
      </c>
      <c r="S7" s="12" t="s">
        <v>14</v>
      </c>
      <c r="T7" s="12" t="s">
        <v>4</v>
      </c>
      <c r="U7" s="12" t="s">
        <v>15</v>
      </c>
      <c r="V7" s="13" t="s">
        <v>17</v>
      </c>
      <c r="W7" s="11" t="s">
        <v>1</v>
      </c>
      <c r="X7" s="12" t="s">
        <v>2</v>
      </c>
      <c r="Y7" s="12" t="s">
        <v>3</v>
      </c>
      <c r="Z7" s="12" t="s">
        <v>14</v>
      </c>
      <c r="AA7" s="12" t="s">
        <v>4</v>
      </c>
      <c r="AB7" s="12" t="s">
        <v>15</v>
      </c>
      <c r="AC7" s="13" t="s">
        <v>17</v>
      </c>
      <c r="AD7" s="11" t="s">
        <v>1</v>
      </c>
      <c r="AE7" s="12" t="s">
        <v>2</v>
      </c>
      <c r="AF7" s="12" t="s">
        <v>3</v>
      </c>
      <c r="AG7" s="12" t="s">
        <v>14</v>
      </c>
      <c r="AH7" s="12" t="s">
        <v>4</v>
      </c>
      <c r="AI7" s="12" t="s">
        <v>15</v>
      </c>
      <c r="AJ7" s="13" t="s">
        <v>17</v>
      </c>
    </row>
    <row r="8" spans="1:36">
      <c r="A8" s="1" t="s">
        <v>35</v>
      </c>
      <c r="B8" s="27">
        <v>5615</v>
      </c>
      <c r="C8" s="28">
        <v>2.742</v>
      </c>
      <c r="D8" s="29">
        <v>62</v>
      </c>
      <c r="E8" s="29">
        <v>7</v>
      </c>
      <c r="F8" s="29">
        <v>472</v>
      </c>
      <c r="G8" s="29">
        <f>B8*C8</f>
        <v>15396.33</v>
      </c>
      <c r="H8" s="30"/>
      <c r="I8" s="27"/>
      <c r="J8" s="28"/>
      <c r="K8" s="29"/>
      <c r="L8" s="29"/>
      <c r="M8" s="29"/>
      <c r="N8" s="29">
        <f>I8*J8</f>
        <v>0</v>
      </c>
      <c r="O8" s="30"/>
      <c r="P8" s="31"/>
      <c r="Q8" s="32"/>
      <c r="R8" s="33"/>
      <c r="S8" s="33"/>
      <c r="T8" s="33"/>
      <c r="U8" s="29">
        <f>P8*Q8</f>
        <v>0</v>
      </c>
      <c r="V8" s="30"/>
      <c r="W8" s="27">
        <v>5605</v>
      </c>
      <c r="X8" s="28">
        <v>2.2509999999999999</v>
      </c>
      <c r="Y8" s="29">
        <v>72</v>
      </c>
      <c r="Z8" s="29">
        <v>27</v>
      </c>
      <c r="AA8" s="29">
        <v>471</v>
      </c>
      <c r="AB8" s="29">
        <f>W8*X8</f>
        <v>12616.855</v>
      </c>
      <c r="AC8" s="30"/>
      <c r="AD8" s="27">
        <f>SUM(AD11:AD21)</f>
        <v>784</v>
      </c>
      <c r="AE8" s="28"/>
      <c r="AF8" s="29"/>
      <c r="AG8" s="29"/>
      <c r="AH8" s="29"/>
      <c r="AI8" s="29">
        <f>AD8*AE8</f>
        <v>0</v>
      </c>
      <c r="AJ8" s="30"/>
    </row>
    <row r="9" spans="1:36">
      <c r="A9" s="1"/>
      <c r="B9" s="21"/>
      <c r="C9" s="22"/>
      <c r="D9" s="22"/>
      <c r="E9" s="22"/>
      <c r="F9" s="22"/>
      <c r="G9" s="22"/>
      <c r="H9" s="23"/>
      <c r="I9" s="21"/>
      <c r="J9" s="22"/>
      <c r="K9" s="22"/>
      <c r="L9" s="22"/>
      <c r="M9" s="22"/>
      <c r="N9" s="22"/>
      <c r="O9" s="23"/>
      <c r="P9" s="25"/>
      <c r="Q9" s="26"/>
      <c r="R9" s="26"/>
      <c r="S9" s="26"/>
      <c r="T9" s="26"/>
      <c r="U9" s="22"/>
      <c r="V9" s="23"/>
      <c r="W9" s="25"/>
      <c r="X9" s="26"/>
      <c r="Y9" s="26"/>
      <c r="Z9" s="26"/>
      <c r="AA9" s="26"/>
      <c r="AB9" s="22"/>
      <c r="AC9" s="23"/>
      <c r="AD9" s="25"/>
      <c r="AE9" s="26"/>
      <c r="AF9" s="26"/>
      <c r="AG9" s="26"/>
      <c r="AH9" s="26"/>
      <c r="AI9" s="22"/>
      <c r="AJ9" s="23"/>
    </row>
    <row r="10" spans="1:36">
      <c r="A10" s="3" t="s">
        <v>5</v>
      </c>
      <c r="B10" s="18">
        <v>0</v>
      </c>
      <c r="C10" s="19">
        <v>0</v>
      </c>
      <c r="D10" s="19">
        <v>0</v>
      </c>
      <c r="E10" s="20">
        <v>0</v>
      </c>
      <c r="F10" s="20">
        <v>0</v>
      </c>
      <c r="G10" s="15">
        <v>0</v>
      </c>
      <c r="H10" s="6">
        <v>0</v>
      </c>
      <c r="I10" s="21"/>
      <c r="J10" s="22"/>
      <c r="K10" s="22"/>
      <c r="L10" s="22"/>
      <c r="M10" s="22"/>
      <c r="N10" s="22"/>
      <c r="O10" s="23"/>
      <c r="P10" s="25"/>
      <c r="Q10" s="26"/>
      <c r="R10" s="26"/>
      <c r="S10" s="26"/>
      <c r="T10" s="26"/>
      <c r="U10" s="22"/>
      <c r="V10" s="23"/>
      <c r="W10" s="25"/>
      <c r="X10" s="26"/>
      <c r="Y10" s="26"/>
      <c r="Z10" s="26"/>
      <c r="AA10" s="26"/>
      <c r="AB10" s="22"/>
      <c r="AC10" s="23"/>
      <c r="AD10" s="25"/>
      <c r="AE10" s="26"/>
      <c r="AF10" s="26"/>
      <c r="AG10" s="26"/>
      <c r="AH10" s="26"/>
      <c r="AI10" s="22"/>
      <c r="AJ10" s="23"/>
    </row>
    <row r="11" spans="1:36">
      <c r="A11" t="s">
        <v>44</v>
      </c>
      <c r="B11" s="18">
        <v>0</v>
      </c>
      <c r="C11" s="19">
        <v>0</v>
      </c>
      <c r="D11" s="19">
        <v>0</v>
      </c>
      <c r="E11" s="20">
        <v>0</v>
      </c>
      <c r="F11" s="20">
        <v>0</v>
      </c>
      <c r="G11" s="15">
        <f t="shared" ref="G11:G21" si="0">B11*C11</f>
        <v>0</v>
      </c>
      <c r="H11" s="6">
        <f t="shared" ref="H11:H23" si="1">G11/$G$25</f>
        <v>0</v>
      </c>
      <c r="I11" s="18"/>
      <c r="J11" s="15"/>
      <c r="K11" s="19"/>
      <c r="L11" s="19"/>
      <c r="M11" s="19"/>
      <c r="N11" s="15">
        <f t="shared" ref="N11:N21" si="2">I11*J11</f>
        <v>0</v>
      </c>
      <c r="O11" s="6">
        <f>N11/N$25</f>
        <v>0</v>
      </c>
      <c r="P11" s="18"/>
      <c r="Q11" s="15"/>
      <c r="R11" s="19"/>
      <c r="S11" s="19"/>
      <c r="T11" s="19"/>
      <c r="U11" s="15">
        <f t="shared" ref="U11:U21" si="3">P11*Q11</f>
        <v>0</v>
      </c>
      <c r="V11" s="6" t="e">
        <f>U11/U$25</f>
        <v>#DIV/0!</v>
      </c>
      <c r="W11" s="18">
        <f>114+124+12+60+133+27+132+694+20+464+124+12+17+17+10+14+6+28+6+5+19+17+10+6+10+9+5+10+8+60+9+6+5+22+8+33+49+8+19</f>
        <v>2332</v>
      </c>
      <c r="X11" s="15">
        <f>(14*1.5+14*1.66+3*1+6*2.16+5*5.8+5*1+9*3.78+39*3.3+1*2+31*3.9+9*2.11+3*1+2*2+2*1+3*1.33+1*2+1*2+2*1+2*1+2*1+2*1+5*2+2*1+1*3+5*1+6*1.57+1*2)/AA11</f>
        <v>2.5718644067796608</v>
      </c>
      <c r="Y11" s="19">
        <v>27</v>
      </c>
      <c r="Z11" s="19">
        <v>12</v>
      </c>
      <c r="AA11" s="19">
        <v>177</v>
      </c>
      <c r="AB11" s="15">
        <f t="shared" ref="AB11:AB21" si="4">W11*X11</f>
        <v>5997.5877966101689</v>
      </c>
      <c r="AC11" s="6">
        <f>AB11/AB$25</f>
        <v>0.45024821058273651</v>
      </c>
      <c r="AD11" s="18"/>
      <c r="AE11" s="15"/>
      <c r="AF11" s="19"/>
      <c r="AG11" s="19"/>
      <c r="AH11" s="19"/>
      <c r="AI11" s="15">
        <f t="shared" ref="AI11:AI12" si="5">AD11*AE11</f>
        <v>0</v>
      </c>
      <c r="AJ11" s="6">
        <f>AI11/AI$25</f>
        <v>0</v>
      </c>
    </row>
    <row r="12" spans="1:36">
      <c r="A12" t="s">
        <v>45</v>
      </c>
      <c r="B12" s="18">
        <f>(8+3+2)+199+(48+1+17)</f>
        <v>278</v>
      </c>
      <c r="C12" s="24">
        <f>((2+1+1)+28*2+(14+1+1))/F12</f>
        <v>9.5</v>
      </c>
      <c r="D12" s="20">
        <v>3</v>
      </c>
      <c r="E12" s="20">
        <v>0</v>
      </c>
      <c r="F12" s="20">
        <v>8</v>
      </c>
      <c r="G12" s="15">
        <f t="shared" si="0"/>
        <v>2641</v>
      </c>
      <c r="H12" s="6">
        <f t="shared" si="1"/>
        <v>0.14921612289717395</v>
      </c>
      <c r="I12" s="18"/>
      <c r="J12" s="24"/>
      <c r="K12" s="20"/>
      <c r="L12" s="20"/>
      <c r="M12" s="20"/>
      <c r="N12" s="15">
        <f t="shared" si="2"/>
        <v>0</v>
      </c>
      <c r="O12" s="6">
        <f>N12/N$25</f>
        <v>0</v>
      </c>
      <c r="P12" s="18"/>
      <c r="Q12" s="24"/>
      <c r="R12" s="20"/>
      <c r="S12" s="20"/>
      <c r="T12" s="20"/>
      <c r="U12" s="15">
        <f t="shared" si="3"/>
        <v>0</v>
      </c>
      <c r="V12" s="6" t="e">
        <f>U12/U$25</f>
        <v>#DIV/0!</v>
      </c>
      <c r="W12" s="18">
        <f>11+(2+2+2+2+2)</f>
        <v>21</v>
      </c>
      <c r="X12" s="24">
        <v>1</v>
      </c>
      <c r="Y12" s="20">
        <v>2</v>
      </c>
      <c r="Z12" s="20">
        <v>0</v>
      </c>
      <c r="AA12" s="20">
        <v>10</v>
      </c>
      <c r="AB12" s="15">
        <f t="shared" si="4"/>
        <v>21</v>
      </c>
      <c r="AC12" s="6">
        <f>AB12/AB$25</f>
        <v>1.5765025445032325E-3</v>
      </c>
      <c r="AD12" s="18"/>
      <c r="AE12" s="24"/>
      <c r="AF12" s="20"/>
      <c r="AG12" s="20"/>
      <c r="AH12" s="20"/>
      <c r="AI12" s="15">
        <f t="shared" si="5"/>
        <v>0</v>
      </c>
      <c r="AJ12" s="6">
        <f>AI12/AI$25</f>
        <v>0</v>
      </c>
    </row>
    <row r="13" spans="1:36">
      <c r="A13" t="s">
        <v>42</v>
      </c>
      <c r="B13" s="18">
        <f>1+8+672+32+14+30+64+19+3</f>
        <v>843</v>
      </c>
      <c r="C13" s="15">
        <f>(1+8*2.5+49*4.14+5*2+9*1.11+8*1.75+13*1.692+19*1.26+3*1)/F13</f>
        <v>2.6677043478260871</v>
      </c>
      <c r="D13" s="20">
        <v>9</v>
      </c>
      <c r="E13" s="20">
        <v>0</v>
      </c>
      <c r="F13" s="20">
        <v>115</v>
      </c>
      <c r="G13" s="15">
        <f t="shared" si="0"/>
        <v>2248.8747652173915</v>
      </c>
      <c r="H13" s="6">
        <f t="shared" si="1"/>
        <v>0.12706110312269275</v>
      </c>
      <c r="I13" s="18"/>
      <c r="J13" s="15"/>
      <c r="K13" s="19"/>
      <c r="L13" s="19"/>
      <c r="M13" s="19"/>
      <c r="N13" s="17">
        <f t="shared" si="2"/>
        <v>0</v>
      </c>
      <c r="O13" s="6">
        <f>N13/N$25</f>
        <v>0</v>
      </c>
      <c r="P13" s="18"/>
      <c r="Q13" s="15"/>
      <c r="R13" s="19"/>
      <c r="S13" s="19"/>
      <c r="T13" s="19"/>
      <c r="U13" s="17">
        <f t="shared" si="3"/>
        <v>0</v>
      </c>
      <c r="V13" s="6" t="e">
        <f>U13/U$25</f>
        <v>#DIV/0!</v>
      </c>
      <c r="W13" s="18">
        <f>547+368</f>
        <v>915</v>
      </c>
      <c r="X13" s="15">
        <f>(43*1.95+31*2.5)/AA13</f>
        <v>2.1804054054054052</v>
      </c>
      <c r="Y13" s="19">
        <v>7</v>
      </c>
      <c r="Z13" s="19">
        <v>2</v>
      </c>
      <c r="AA13" s="20">
        <f>43+31</f>
        <v>74</v>
      </c>
      <c r="AB13" s="15">
        <f>W13*X13</f>
        <v>1995.0709459459458</v>
      </c>
      <c r="AC13" s="6">
        <f>AB13/AB$25</f>
        <v>0.14977306774991689</v>
      </c>
      <c r="AD13" s="18"/>
      <c r="AE13" s="15"/>
      <c r="AF13" s="19"/>
      <c r="AG13" s="19"/>
      <c r="AH13" s="20"/>
      <c r="AI13" s="15">
        <f>AD13*AE13</f>
        <v>0</v>
      </c>
      <c r="AJ13" s="6">
        <f>AI13/AI$25</f>
        <v>0</v>
      </c>
    </row>
    <row r="14" spans="1:36">
      <c r="A14" s="3" t="s">
        <v>6</v>
      </c>
      <c r="B14" s="18">
        <v>0</v>
      </c>
      <c r="C14" s="15">
        <v>0</v>
      </c>
      <c r="D14" s="20">
        <v>0</v>
      </c>
      <c r="E14" s="20">
        <v>0</v>
      </c>
      <c r="F14" s="20">
        <v>0</v>
      </c>
      <c r="G14" s="15">
        <f t="shared" si="0"/>
        <v>0</v>
      </c>
      <c r="H14" s="6">
        <f t="shared" si="1"/>
        <v>0</v>
      </c>
      <c r="I14" s="18"/>
      <c r="J14" s="15"/>
      <c r="K14" s="19"/>
      <c r="L14" s="19"/>
      <c r="M14" s="19"/>
      <c r="N14" s="17">
        <f t="shared" si="2"/>
        <v>0</v>
      </c>
      <c r="O14" s="6">
        <f>N14/N$25</f>
        <v>0</v>
      </c>
      <c r="P14" s="18"/>
      <c r="Q14" s="15"/>
      <c r="R14" s="19"/>
      <c r="S14" s="19"/>
      <c r="T14" s="19"/>
      <c r="U14" s="17">
        <f t="shared" si="3"/>
        <v>0</v>
      </c>
      <c r="V14" s="6" t="e">
        <f>U14/U$25</f>
        <v>#DIV/0!</v>
      </c>
      <c r="W14" s="18">
        <f>25+9+24+10+4+24</f>
        <v>96</v>
      </c>
      <c r="X14" s="15">
        <f>(4*1+4*1+2*1+4*1)/AA14</f>
        <v>1</v>
      </c>
      <c r="Y14" s="20">
        <v>4</v>
      </c>
      <c r="Z14" s="20">
        <v>2</v>
      </c>
      <c r="AA14" s="20">
        <v>14</v>
      </c>
      <c r="AB14" s="15">
        <f t="shared" si="4"/>
        <v>96</v>
      </c>
      <c r="AC14" s="6">
        <f>AB14/AB$25</f>
        <v>7.2068687748719192E-3</v>
      </c>
      <c r="AD14" s="18"/>
      <c r="AE14" s="15"/>
      <c r="AF14" s="20"/>
      <c r="AG14" s="20"/>
      <c r="AH14" s="20"/>
      <c r="AI14" s="15">
        <f t="shared" ref="AI14:AI21" si="6">AD14*AE14</f>
        <v>0</v>
      </c>
      <c r="AJ14" s="6">
        <f>AI14/AI$25</f>
        <v>0</v>
      </c>
    </row>
    <row r="15" spans="1:36">
      <c r="A15" s="3" t="s">
        <v>8</v>
      </c>
      <c r="B15" s="18">
        <f>175+89</f>
        <v>264</v>
      </c>
      <c r="C15" s="15">
        <f>(17*3.17+17*1.16)/F15</f>
        <v>2.165</v>
      </c>
      <c r="D15" s="20">
        <v>2</v>
      </c>
      <c r="E15" s="20">
        <v>0</v>
      </c>
      <c r="F15" s="19">
        <f>17+17</f>
        <v>34</v>
      </c>
      <c r="G15" s="15">
        <f t="shared" si="0"/>
        <v>571.56000000000006</v>
      </c>
      <c r="H15" s="6">
        <f t="shared" si="1"/>
        <v>3.2293058388151746E-2</v>
      </c>
      <c r="I15" s="18"/>
      <c r="J15" s="15"/>
      <c r="K15" s="19"/>
      <c r="L15" s="19"/>
      <c r="M15" s="19"/>
      <c r="N15" s="17">
        <f t="shared" si="2"/>
        <v>0</v>
      </c>
      <c r="O15" s="6">
        <f>N15/N$25</f>
        <v>0</v>
      </c>
      <c r="P15" s="18"/>
      <c r="Q15" s="15"/>
      <c r="R15" s="19"/>
      <c r="S15" s="19"/>
      <c r="T15" s="19"/>
      <c r="U15" s="15">
        <f t="shared" si="3"/>
        <v>0</v>
      </c>
      <c r="V15" s="6" t="e">
        <f>U15/U$25</f>
        <v>#DIV/0!</v>
      </c>
      <c r="W15" s="18">
        <f>21+665+233</f>
        <v>919</v>
      </c>
      <c r="X15" s="15">
        <f>(4*1+54*3+14*3.35)/AA15</f>
        <v>2.9569444444444444</v>
      </c>
      <c r="Y15" s="20">
        <v>3</v>
      </c>
      <c r="Z15" s="20">
        <v>1</v>
      </c>
      <c r="AA15" s="19">
        <f>14+54+4</f>
        <v>72</v>
      </c>
      <c r="AB15" s="15">
        <f t="shared" si="4"/>
        <v>2717.4319444444445</v>
      </c>
      <c r="AC15" s="6">
        <f>AB15/AB$25</f>
        <v>0.20400182737766825</v>
      </c>
      <c r="AD15" s="18"/>
      <c r="AE15" s="15"/>
      <c r="AF15" s="20"/>
      <c r="AG15" s="20"/>
      <c r="AH15" s="19"/>
      <c r="AI15" s="15">
        <f t="shared" si="6"/>
        <v>0</v>
      </c>
      <c r="AJ15" s="6">
        <f>AI15/AI$25</f>
        <v>0</v>
      </c>
    </row>
    <row r="16" spans="1:36">
      <c r="A16" s="3" t="s">
        <v>9</v>
      </c>
      <c r="B16" s="18">
        <f>(14)+5+190+0+5+3</f>
        <v>217</v>
      </c>
      <c r="C16" s="15">
        <f>(6+17*2.4)/F16</f>
        <v>2.5999999999999996</v>
      </c>
      <c r="D16" s="20">
        <v>5</v>
      </c>
      <c r="E16" s="20">
        <v>1</v>
      </c>
      <c r="F16" s="20">
        <v>18</v>
      </c>
      <c r="G16" s="15">
        <f t="shared" si="0"/>
        <v>564.19999999999993</v>
      </c>
      <c r="H16" s="6">
        <f t="shared" si="1"/>
        <v>3.1877219439070632E-2</v>
      </c>
      <c r="I16" s="18"/>
      <c r="J16" s="15"/>
      <c r="K16" s="20"/>
      <c r="L16" s="20"/>
      <c r="M16" s="20"/>
      <c r="N16" s="15">
        <f t="shared" si="2"/>
        <v>0</v>
      </c>
      <c r="O16" s="6">
        <f>N16/N$25</f>
        <v>0</v>
      </c>
      <c r="P16" s="18"/>
      <c r="Q16" s="15"/>
      <c r="R16" s="20"/>
      <c r="S16" s="20"/>
      <c r="T16" s="20"/>
      <c r="U16" s="15">
        <f t="shared" si="3"/>
        <v>0</v>
      </c>
      <c r="V16" s="6" t="e">
        <f>U16/U$25</f>
        <v>#DIV/0!</v>
      </c>
      <c r="W16" s="18">
        <f>23+5</f>
        <v>28</v>
      </c>
      <c r="X16" s="15">
        <v>1.33</v>
      </c>
      <c r="Y16" s="20">
        <v>1</v>
      </c>
      <c r="Z16" s="20">
        <v>1</v>
      </c>
      <c r="AA16" s="20">
        <v>3</v>
      </c>
      <c r="AB16" s="15">
        <f t="shared" si="4"/>
        <v>37.24</v>
      </c>
      <c r="AC16" s="6">
        <f>AB16/AB$25</f>
        <v>2.7956645122523991E-3</v>
      </c>
      <c r="AD16" s="18">
        <v>55</v>
      </c>
      <c r="AE16" s="15">
        <v>1.42</v>
      </c>
      <c r="AF16" s="20">
        <v>2</v>
      </c>
      <c r="AG16" s="20">
        <v>0</v>
      </c>
      <c r="AH16" s="20">
        <v>7</v>
      </c>
      <c r="AI16" s="15">
        <f t="shared" si="6"/>
        <v>78.099999999999994</v>
      </c>
      <c r="AJ16" s="6">
        <f>AI16/AI$25</f>
        <v>4.5543043205390508E-2</v>
      </c>
    </row>
    <row r="17" spans="1:36">
      <c r="A17" s="3" t="s">
        <v>23</v>
      </c>
      <c r="B17" s="18">
        <f>885+(9+9+1)+32+14+1086+15+(9+1)</f>
        <v>2061</v>
      </c>
      <c r="C17" s="15">
        <f>(87*2.021+(3+2+1)+5*2+9*1.11+75*3.94+(2+1))/F17</f>
        <v>2.7641823204419889</v>
      </c>
      <c r="D17" s="20">
        <v>29</v>
      </c>
      <c r="E17" s="20">
        <v>1</v>
      </c>
      <c r="F17" s="20">
        <v>181</v>
      </c>
      <c r="G17" s="15">
        <f t="shared" si="0"/>
        <v>5696.9797624309394</v>
      </c>
      <c r="H17" s="6">
        <f t="shared" si="1"/>
        <v>0.32187854311760999</v>
      </c>
      <c r="I17" s="18"/>
      <c r="J17" s="15"/>
      <c r="K17" s="19"/>
      <c r="L17" s="19"/>
      <c r="M17" s="19"/>
      <c r="N17" s="17">
        <f t="shared" si="2"/>
        <v>0</v>
      </c>
      <c r="O17" s="6">
        <f>N17/N$25</f>
        <v>0</v>
      </c>
      <c r="P17" s="18"/>
      <c r="Q17" s="15"/>
      <c r="R17" s="19"/>
      <c r="S17" s="19"/>
      <c r="T17" s="19"/>
      <c r="U17" s="15">
        <f t="shared" si="3"/>
        <v>0</v>
      </c>
      <c r="V17" s="6" t="e">
        <f>U17/U$25</f>
        <v>#DIV/0!</v>
      </c>
      <c r="W17" s="18">
        <f>46+(1+1+1)</f>
        <v>49</v>
      </c>
      <c r="X17" s="15">
        <v>1.5</v>
      </c>
      <c r="Y17" s="20">
        <v>2</v>
      </c>
      <c r="Z17" s="20">
        <v>0</v>
      </c>
      <c r="AA17" s="20">
        <v>8</v>
      </c>
      <c r="AB17" s="15">
        <f t="shared" si="4"/>
        <v>73.5</v>
      </c>
      <c r="AC17" s="6">
        <f>AB17/AB$25</f>
        <v>5.5177589057613134E-3</v>
      </c>
      <c r="AD17" s="18"/>
      <c r="AE17" s="15"/>
      <c r="AF17" s="20"/>
      <c r="AG17" s="20"/>
      <c r="AH17" s="20"/>
      <c r="AI17" s="15">
        <f t="shared" si="6"/>
        <v>0</v>
      </c>
      <c r="AJ17" s="6">
        <f>AI17/AI$25</f>
        <v>0</v>
      </c>
    </row>
    <row r="18" spans="1:36">
      <c r="A18" s="3" t="s">
        <v>10</v>
      </c>
      <c r="B18" s="18">
        <f>8+24+1+8</f>
        <v>41</v>
      </c>
      <c r="C18" s="24">
        <f>(2+4*1+2)/F18</f>
        <v>1.3333333333333333</v>
      </c>
      <c r="D18" s="20">
        <v>3</v>
      </c>
      <c r="E18" s="20">
        <v>1</v>
      </c>
      <c r="F18" s="20">
        <v>6</v>
      </c>
      <c r="G18" s="15">
        <f t="shared" si="0"/>
        <v>54.666666666666664</v>
      </c>
      <c r="H18" s="6">
        <f t="shared" si="1"/>
        <v>3.0886588609285032E-3</v>
      </c>
      <c r="I18" s="18"/>
      <c r="J18" s="24"/>
      <c r="K18" s="20"/>
      <c r="L18" s="20"/>
      <c r="M18" s="20"/>
      <c r="N18" s="15">
        <f t="shared" si="2"/>
        <v>0</v>
      </c>
      <c r="O18" s="6">
        <f>N18/N$25</f>
        <v>0</v>
      </c>
      <c r="P18" s="18"/>
      <c r="Q18" s="24"/>
      <c r="R18" s="20"/>
      <c r="S18" s="20"/>
      <c r="T18" s="20"/>
      <c r="U18" s="15">
        <f t="shared" si="3"/>
        <v>0</v>
      </c>
      <c r="V18" s="6" t="e">
        <f>U18/U$25</f>
        <v>#DIV/0!</v>
      </c>
      <c r="W18" s="18">
        <f>50+11+18+62+(1)</f>
        <v>142</v>
      </c>
      <c r="X18" s="24">
        <f>(10*1.7+3*1+1*2+1)/AA18</f>
        <v>1.5333333333333334</v>
      </c>
      <c r="Y18" s="20">
        <v>4</v>
      </c>
      <c r="Z18" s="20">
        <v>1</v>
      </c>
      <c r="AA18" s="20">
        <v>15</v>
      </c>
      <c r="AB18" s="15">
        <f t="shared" si="4"/>
        <v>217.73333333333335</v>
      </c>
      <c r="AC18" s="6">
        <f>AB18/AB$25</f>
        <v>1.6345578763008118E-2</v>
      </c>
      <c r="AD18" s="18"/>
      <c r="AE18" s="24"/>
      <c r="AF18" s="20"/>
      <c r="AG18" s="20"/>
      <c r="AH18" s="20"/>
      <c r="AI18" s="15">
        <f t="shared" si="6"/>
        <v>0</v>
      </c>
      <c r="AJ18" s="6">
        <f>AI18/AI$25</f>
        <v>0</v>
      </c>
    </row>
    <row r="19" spans="1:36">
      <c r="A19" s="3" t="s">
        <v>11</v>
      </c>
      <c r="B19" s="18">
        <f>52+(4+10+10+10+10+8)+124+21+16+(5)+(19+19+16+1+16)</f>
        <v>341</v>
      </c>
      <c r="C19" s="15">
        <f>(12*1+(4+4+4+4+2)+24*1.29+3+2*2+(5+5+5+1+5))/F19</f>
        <v>1.8155102040816329</v>
      </c>
      <c r="D19" s="20">
        <v>6</v>
      </c>
      <c r="E19" s="20">
        <v>1</v>
      </c>
      <c r="F19" s="20">
        <v>49</v>
      </c>
      <c r="G19" s="15">
        <f t="shared" si="0"/>
        <v>619.08897959183685</v>
      </c>
      <c r="H19" s="6">
        <f t="shared" si="1"/>
        <v>3.497843894852766E-2</v>
      </c>
      <c r="I19" s="18"/>
      <c r="J19" s="15"/>
      <c r="K19" s="20"/>
      <c r="L19" s="20"/>
      <c r="M19" s="20"/>
      <c r="N19" s="15">
        <f t="shared" si="2"/>
        <v>0</v>
      </c>
      <c r="O19" s="6">
        <f>N19/N$25</f>
        <v>0</v>
      </c>
      <c r="P19" s="18"/>
      <c r="Q19" s="15"/>
      <c r="R19" s="20"/>
      <c r="S19" s="20"/>
      <c r="T19" s="20"/>
      <c r="U19" s="15">
        <f t="shared" si="3"/>
        <v>0</v>
      </c>
      <c r="V19" s="6" t="e">
        <f>U19/U$25</f>
        <v>#DIV/0!</v>
      </c>
      <c r="W19" s="18">
        <f>12+23+24+185+28+(1+1+1)</f>
        <v>275</v>
      </c>
      <c r="X19" s="15">
        <f>(2*1+3*1.33+4*1+13*2.21+4*1.25+3*1)/AA19</f>
        <v>1.6110344827586207</v>
      </c>
      <c r="Y19" s="20">
        <v>6</v>
      </c>
      <c r="Z19" s="20">
        <v>0</v>
      </c>
      <c r="AA19" s="20">
        <v>29</v>
      </c>
      <c r="AB19" s="15">
        <f t="shared" si="4"/>
        <v>443.0344827586207</v>
      </c>
      <c r="AC19" s="6">
        <f>AB19/AB$25</f>
        <v>3.3259285208173284E-2</v>
      </c>
      <c r="AD19" s="18">
        <v>88</v>
      </c>
      <c r="AE19" s="15">
        <v>1.4</v>
      </c>
      <c r="AF19" s="20">
        <v>3</v>
      </c>
      <c r="AG19" s="20">
        <v>0</v>
      </c>
      <c r="AH19" s="20">
        <v>10</v>
      </c>
      <c r="AI19" s="15">
        <f t="shared" si="6"/>
        <v>123.19999999999999</v>
      </c>
      <c r="AJ19" s="6">
        <f>AI19/AI$25</f>
        <v>7.1842547028221654E-2</v>
      </c>
    </row>
    <row r="20" spans="1:36">
      <c r="A20" s="3" t="s">
        <v>12</v>
      </c>
      <c r="B20" s="18">
        <f>267+125+3+245+26+7+31</f>
        <v>704</v>
      </c>
      <c r="C20" s="24">
        <f>(6*13+20*1.45+1+17*4.41+5*2+7*1+4*2)/F20</f>
        <v>4.1593999999999998</v>
      </c>
      <c r="D20" s="20">
        <v>9</v>
      </c>
      <c r="E20" s="20">
        <v>1</v>
      </c>
      <c r="F20" s="20">
        <v>50</v>
      </c>
      <c r="G20" s="15">
        <f t="shared" si="0"/>
        <v>2928.2175999999999</v>
      </c>
      <c r="H20" s="6">
        <f t="shared" si="1"/>
        <v>0.16544387628597795</v>
      </c>
      <c r="I20" s="18"/>
      <c r="J20" s="20"/>
      <c r="K20" s="20"/>
      <c r="L20" s="20"/>
      <c r="M20" s="20"/>
      <c r="N20" s="15">
        <f t="shared" si="2"/>
        <v>0</v>
      </c>
      <c r="O20" s="6">
        <f>N20/N$25</f>
        <v>0</v>
      </c>
      <c r="P20" s="18"/>
      <c r="Q20" s="20"/>
      <c r="R20" s="20"/>
      <c r="S20" s="20"/>
      <c r="T20" s="20"/>
      <c r="U20" s="15">
        <f t="shared" si="3"/>
        <v>0</v>
      </c>
      <c r="V20" s="6" t="e">
        <f>U20/U$25</f>
        <v>#DIV/0!</v>
      </c>
      <c r="W20" s="18">
        <v>169</v>
      </c>
      <c r="X20" s="20">
        <v>1.597</v>
      </c>
      <c r="Y20" s="20">
        <v>2</v>
      </c>
      <c r="Z20" s="20">
        <v>3</v>
      </c>
      <c r="AA20" s="20">
        <v>18</v>
      </c>
      <c r="AB20" s="15">
        <f t="shared" si="4"/>
        <v>269.89299999999997</v>
      </c>
      <c r="AC20" s="6">
        <f>AB20/AB$25</f>
        <v>2.0261285773505278E-2</v>
      </c>
      <c r="AD20" s="4">
        <f>438+203</f>
        <v>641</v>
      </c>
      <c r="AE20" s="24">
        <f>(35*2.14+21*2.73)/AH20</f>
        <v>2.3612500000000005</v>
      </c>
      <c r="AF20" s="20">
        <f>3+3</f>
        <v>6</v>
      </c>
      <c r="AG20" s="20">
        <v>1</v>
      </c>
      <c r="AH20" s="20">
        <f>35+21</f>
        <v>56</v>
      </c>
      <c r="AI20" s="15">
        <f t="shared" si="6"/>
        <v>1513.5612500000004</v>
      </c>
      <c r="AJ20" s="6">
        <f>AI20/AI$25</f>
        <v>0.88261440976638783</v>
      </c>
    </row>
    <row r="21" spans="1:36">
      <c r="A21" s="3" t="s">
        <v>39</v>
      </c>
      <c r="B21" s="18">
        <v>0</v>
      </c>
      <c r="C21" s="24">
        <v>0</v>
      </c>
      <c r="D21" s="20">
        <v>0</v>
      </c>
      <c r="E21" s="20">
        <v>0</v>
      </c>
      <c r="F21" s="20">
        <v>0</v>
      </c>
      <c r="G21" s="15">
        <f t="shared" si="0"/>
        <v>0</v>
      </c>
      <c r="H21" s="6">
        <f t="shared" si="1"/>
        <v>0</v>
      </c>
      <c r="I21" s="18"/>
      <c r="J21" s="20"/>
      <c r="K21" s="20"/>
      <c r="L21" s="20"/>
      <c r="M21" s="20"/>
      <c r="N21" s="15">
        <f t="shared" si="2"/>
        <v>0</v>
      </c>
      <c r="O21" s="6">
        <f>N21/N$25</f>
        <v>0</v>
      </c>
      <c r="P21" s="18"/>
      <c r="Q21" s="20"/>
      <c r="R21" s="20"/>
      <c r="S21" s="20"/>
      <c r="T21" s="20"/>
      <c r="U21" s="15">
        <f t="shared" si="3"/>
        <v>0</v>
      </c>
      <c r="V21" s="6" t="e">
        <f>U21/U$25</f>
        <v>#DIV/0!</v>
      </c>
      <c r="W21" s="18">
        <f>19+6</f>
        <v>25</v>
      </c>
      <c r="X21" s="24">
        <v>1</v>
      </c>
      <c r="Y21" s="20">
        <v>1</v>
      </c>
      <c r="Z21" s="20">
        <v>1</v>
      </c>
      <c r="AA21" s="20">
        <v>4</v>
      </c>
      <c r="AB21" s="15">
        <f t="shared" si="4"/>
        <v>25</v>
      </c>
      <c r="AC21" s="6">
        <f>AB21/AB$25</f>
        <v>1.876788743456229E-3</v>
      </c>
      <c r="AD21" s="18"/>
      <c r="AE21" s="24"/>
      <c r="AF21" s="20"/>
      <c r="AG21" s="20"/>
      <c r="AH21" s="20"/>
      <c r="AI21" s="15">
        <f t="shared" si="6"/>
        <v>0</v>
      </c>
      <c r="AJ21" s="6">
        <f>AI21/AI$25</f>
        <v>0</v>
      </c>
    </row>
    <row r="22" spans="1:36">
      <c r="A22" t="s">
        <v>46</v>
      </c>
      <c r="B22" s="18">
        <v>0</v>
      </c>
      <c r="C22" s="24">
        <v>0</v>
      </c>
      <c r="D22" s="20">
        <v>0</v>
      </c>
      <c r="E22" s="20">
        <v>0</v>
      </c>
      <c r="F22" s="20">
        <v>0</v>
      </c>
      <c r="G22" s="15">
        <v>0</v>
      </c>
      <c r="H22" s="6">
        <v>0</v>
      </c>
      <c r="I22" s="18">
        <v>85128</v>
      </c>
      <c r="J22" s="20">
        <v>1.92</v>
      </c>
      <c r="K22" s="20">
        <v>1196</v>
      </c>
      <c r="L22" s="20">
        <v>208</v>
      </c>
      <c r="M22" s="20">
        <f>1238+5731</f>
        <v>6969</v>
      </c>
      <c r="N22" s="15">
        <f>I22*J22</f>
        <v>163445.75999999998</v>
      </c>
      <c r="O22" s="6">
        <f>N22/N$25</f>
        <v>1</v>
      </c>
      <c r="P22" s="18"/>
      <c r="Q22" s="20"/>
      <c r="R22" s="20"/>
      <c r="S22" s="20"/>
      <c r="T22" s="20"/>
      <c r="U22" s="15"/>
      <c r="V22" s="6"/>
      <c r="W22" s="18"/>
      <c r="X22" s="24"/>
      <c r="Y22" s="20"/>
      <c r="Z22" s="20"/>
      <c r="AA22" s="20"/>
      <c r="AB22" s="15"/>
      <c r="AC22" s="6"/>
      <c r="AD22" s="18"/>
      <c r="AE22" s="24"/>
      <c r="AF22" s="20"/>
      <c r="AG22" s="20"/>
      <c r="AH22" s="20"/>
      <c r="AI22" s="15"/>
      <c r="AJ22" s="6"/>
    </row>
    <row r="23" spans="1:36">
      <c r="A23" s="3" t="s">
        <v>7</v>
      </c>
      <c r="B23" s="18">
        <f>B8-SUM(B11:B21)</f>
        <v>866</v>
      </c>
      <c r="C23" s="15">
        <f>C8</f>
        <v>2.742</v>
      </c>
      <c r="D23" s="19"/>
      <c r="E23" s="19"/>
      <c r="F23" s="19"/>
      <c r="G23" s="15">
        <f>B23*C23</f>
        <v>2374.5720000000001</v>
      </c>
      <c r="H23" s="16">
        <f t="shared" si="1"/>
        <v>0.13416297893986678</v>
      </c>
      <c r="I23" s="18">
        <f>I8-SUM(I11:I21)</f>
        <v>0</v>
      </c>
      <c r="J23" s="15">
        <f>J8</f>
        <v>0</v>
      </c>
      <c r="K23" s="19"/>
      <c r="L23" s="19"/>
      <c r="M23" s="19"/>
      <c r="N23" s="15">
        <f>I23*J23</f>
        <v>0</v>
      </c>
      <c r="O23" s="16">
        <f>N23/N$25</f>
        <v>0</v>
      </c>
      <c r="P23" s="18">
        <f>P8-SUM(P11:P21)</f>
        <v>0</v>
      </c>
      <c r="Q23" s="15">
        <f>Q8</f>
        <v>0</v>
      </c>
      <c r="R23" s="19"/>
      <c r="S23" s="19"/>
      <c r="T23" s="19"/>
      <c r="U23" s="15">
        <f>P23*Q23</f>
        <v>0</v>
      </c>
      <c r="V23" s="16" t="e">
        <f>U23/U$25</f>
        <v>#DIV/0!</v>
      </c>
      <c r="W23" s="18">
        <f>W8-SUM(W11:W21)</f>
        <v>634</v>
      </c>
      <c r="X23" s="15">
        <f>X8</f>
        <v>2.2509999999999999</v>
      </c>
      <c r="Y23" s="20"/>
      <c r="Z23" s="20"/>
      <c r="AA23" s="20"/>
      <c r="AB23" s="15">
        <f>W23*X23</f>
        <v>1427.134</v>
      </c>
      <c r="AC23" s="16">
        <f>AB23/AB$25</f>
        <v>0.10713716106414647</v>
      </c>
      <c r="AD23" s="18">
        <f>AD8-SUM(AD11:AD21)</f>
        <v>0</v>
      </c>
      <c r="AE23" s="15">
        <f>AE8</f>
        <v>0</v>
      </c>
      <c r="AF23" s="20"/>
      <c r="AG23" s="20"/>
      <c r="AH23" s="20"/>
      <c r="AI23" s="15">
        <f>AD23*AE23</f>
        <v>0</v>
      </c>
      <c r="AJ23" s="16">
        <f>AI23/AI$25</f>
        <v>0</v>
      </c>
    </row>
    <row r="24" spans="1:36">
      <c r="B24" s="4"/>
      <c r="C24" s="5"/>
      <c r="D24" s="5"/>
      <c r="E24" s="5"/>
      <c r="F24" s="5"/>
      <c r="G24" s="5"/>
      <c r="H24" s="14"/>
      <c r="I24" s="4"/>
      <c r="J24" s="5"/>
      <c r="K24" s="5"/>
      <c r="L24" s="5"/>
      <c r="M24" s="5"/>
      <c r="N24" s="5"/>
      <c r="O24" s="14"/>
      <c r="P24" s="4"/>
      <c r="Q24" s="5"/>
      <c r="R24" s="5"/>
      <c r="S24" s="5"/>
      <c r="T24" s="5"/>
      <c r="U24" s="5"/>
      <c r="V24" s="14"/>
      <c r="W24" s="4"/>
      <c r="X24" s="5"/>
      <c r="Y24" s="5"/>
      <c r="Z24" s="5"/>
      <c r="AA24" s="5"/>
      <c r="AB24" s="5"/>
      <c r="AC24" s="14"/>
      <c r="AD24" s="4"/>
      <c r="AE24" s="5"/>
      <c r="AF24" s="5"/>
      <c r="AG24" s="5"/>
      <c r="AH24" s="5"/>
      <c r="AI24" s="5"/>
      <c r="AJ24" s="14"/>
    </row>
    <row r="25" spans="1:36">
      <c r="A25" s="1" t="s">
        <v>16</v>
      </c>
      <c r="B25" s="7"/>
      <c r="C25" s="8"/>
      <c r="D25" s="8"/>
      <c r="E25" s="8"/>
      <c r="F25" s="8"/>
      <c r="G25" s="9">
        <f>SUM(G11:G23)</f>
        <v>17699.159773906835</v>
      </c>
      <c r="H25" s="10">
        <f>SUM(H11:H23)</f>
        <v>1</v>
      </c>
      <c r="I25" s="7"/>
      <c r="J25" s="8"/>
      <c r="K25" s="8"/>
      <c r="L25" s="8"/>
      <c r="M25" s="8"/>
      <c r="N25" s="9">
        <f>SUM(N11:N23)</f>
        <v>163445.75999999998</v>
      </c>
      <c r="O25" s="10">
        <f>SUM(O11:O23)</f>
        <v>1</v>
      </c>
      <c r="P25" s="7"/>
      <c r="Q25" s="8"/>
      <c r="R25" s="8"/>
      <c r="S25" s="8"/>
      <c r="T25" s="8"/>
      <c r="U25" s="9">
        <f>SUM(U11:U23)</f>
        <v>0</v>
      </c>
      <c r="V25" s="10" t="e">
        <f>SUM(V11:V23)</f>
        <v>#DIV/0!</v>
      </c>
      <c r="W25" s="7"/>
      <c r="X25" s="8"/>
      <c r="Y25" s="8"/>
      <c r="Z25" s="8"/>
      <c r="AA25" s="8"/>
      <c r="AB25" s="9">
        <f>SUM(AB11:AB23)</f>
        <v>13320.625503092515</v>
      </c>
      <c r="AC25" s="10">
        <f>SUM(AC11:AC23)</f>
        <v>1</v>
      </c>
      <c r="AD25" s="7"/>
      <c r="AE25" s="8"/>
      <c r="AF25" s="8"/>
      <c r="AG25" s="8"/>
      <c r="AH25" s="8"/>
      <c r="AI25" s="9">
        <f>SUM(AI11:AI23)</f>
        <v>1714.8612500000004</v>
      </c>
      <c r="AJ25" s="10">
        <f>SUM(AJ11:AJ23)</f>
        <v>1</v>
      </c>
    </row>
    <row r="45" spans="1:24">
      <c r="X45" t="s">
        <v>41</v>
      </c>
    </row>
    <row r="48" spans="1:24">
      <c r="A48" s="1" t="s">
        <v>24</v>
      </c>
    </row>
    <row r="49" spans="1:2">
      <c r="A49" s="3" t="s">
        <v>5</v>
      </c>
      <c r="B49" t="s">
        <v>25</v>
      </c>
    </row>
    <row r="50" spans="1:2">
      <c r="A50" s="3" t="s">
        <v>20</v>
      </c>
      <c r="B50" t="s">
        <v>26</v>
      </c>
    </row>
    <row r="51" spans="1:2">
      <c r="A51" t="s">
        <v>37</v>
      </c>
      <c r="B51" t="s">
        <v>27</v>
      </c>
    </row>
    <row r="52" spans="1:2">
      <c r="A52" s="3" t="s">
        <v>6</v>
      </c>
      <c r="B52" t="s">
        <v>28</v>
      </c>
    </row>
    <row r="53" spans="1:2">
      <c r="A53" s="3" t="s">
        <v>7</v>
      </c>
      <c r="B53" t="s">
        <v>36</v>
      </c>
    </row>
    <row r="54" spans="1:2">
      <c r="A54" s="3" t="s">
        <v>8</v>
      </c>
      <c r="B54" t="s">
        <v>29</v>
      </c>
    </row>
    <row r="55" spans="1:2">
      <c r="A55" s="3" t="s">
        <v>9</v>
      </c>
      <c r="B55" t="s">
        <v>30</v>
      </c>
    </row>
    <row r="56" spans="1:2">
      <c r="A56" s="3" t="s">
        <v>23</v>
      </c>
      <c r="B56" t="s">
        <v>31</v>
      </c>
    </row>
    <row r="57" spans="1:2">
      <c r="A57" s="3" t="s">
        <v>10</v>
      </c>
      <c r="B57" t="s">
        <v>32</v>
      </c>
    </row>
    <row r="58" spans="1:2">
      <c r="A58" s="3" t="s">
        <v>11</v>
      </c>
      <c r="B58" t="s">
        <v>34</v>
      </c>
    </row>
    <row r="59" spans="1:2">
      <c r="A59" s="3" t="s">
        <v>12</v>
      </c>
      <c r="B59" t="s">
        <v>33</v>
      </c>
    </row>
    <row r="63" spans="1:2" ht="15" customHeight="1"/>
  </sheetData>
  <mergeCells count="5">
    <mergeCell ref="B6:H6"/>
    <mergeCell ref="I6:O6"/>
    <mergeCell ref="P6:V6"/>
    <mergeCell ref="W6:AC6"/>
    <mergeCell ref="AD6:AJ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2008-10-21T23:50:48Z</dcterms:created>
  <dcterms:modified xsi:type="dcterms:W3CDTF">2008-12-04T18:41:11Z</dcterms:modified>
</cp:coreProperties>
</file>