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132" windowWidth="5268" windowHeight="2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94" i="1"/>
  <c r="H94"/>
  <c r="G94"/>
  <c r="F94"/>
  <c r="E94"/>
  <c r="D94"/>
  <c r="C94"/>
  <c r="I92"/>
  <c r="H92"/>
  <c r="G92"/>
  <c r="F92"/>
  <c r="E92"/>
  <c r="D92"/>
  <c r="C92"/>
  <c r="C93"/>
  <c r="C91"/>
  <c r="H91" l="1"/>
  <c r="C96"/>
  <c r="AE8"/>
  <c r="X12" l="1"/>
  <c r="Q12"/>
  <c r="J12"/>
  <c r="L187"/>
  <c r="L186"/>
  <c r="H185"/>
  <c r="G185"/>
  <c r="L184"/>
  <c r="K183"/>
  <c r="H183" s="1"/>
  <c r="G183"/>
  <c r="L182"/>
  <c r="L181"/>
  <c r="K180"/>
  <c r="H180"/>
  <c r="G180"/>
  <c r="L179"/>
  <c r="H178"/>
  <c r="G178"/>
  <c r="L177"/>
  <c r="L175"/>
  <c r="H174"/>
  <c r="G174"/>
  <c r="G173"/>
  <c r="L173" s="1"/>
  <c r="H172"/>
  <c r="G172"/>
  <c r="H171"/>
  <c r="G171"/>
  <c r="L170"/>
  <c r="L169"/>
  <c r="L168"/>
  <c r="H167"/>
  <c r="G167"/>
  <c r="H166"/>
  <c r="G166"/>
  <c r="L176" s="1"/>
  <c r="L164"/>
  <c r="H163"/>
  <c r="G163"/>
  <c r="H162"/>
  <c r="G162"/>
  <c r="H161"/>
  <c r="G161"/>
  <c r="H160"/>
  <c r="G160"/>
  <c r="H159"/>
  <c r="G159"/>
  <c r="L158"/>
  <c r="L157"/>
  <c r="H156"/>
  <c r="G156"/>
  <c r="H155"/>
  <c r="G155"/>
  <c r="L165" s="1"/>
  <c r="L153"/>
  <c r="H152"/>
  <c r="G152"/>
  <c r="L151"/>
  <c r="H150"/>
  <c r="G150"/>
  <c r="H149"/>
  <c r="G149"/>
  <c r="L148"/>
  <c r="L147"/>
  <c r="L146"/>
  <c r="H145"/>
  <c r="G145"/>
  <c r="H144"/>
  <c r="G144"/>
  <c r="L154" s="1"/>
  <c r="L142"/>
  <c r="H141"/>
  <c r="G141"/>
  <c r="L140"/>
  <c r="H139"/>
  <c r="G139"/>
  <c r="H138"/>
  <c r="G138"/>
  <c r="L137"/>
  <c r="L136"/>
  <c r="L135"/>
  <c r="H134"/>
  <c r="G134"/>
  <c r="H133"/>
  <c r="G133"/>
  <c r="L143" s="1"/>
  <c r="L132"/>
  <c r="L131"/>
  <c r="K130"/>
  <c r="H130" s="1"/>
  <c r="G130"/>
  <c r="L129"/>
  <c r="H128"/>
  <c r="G128"/>
  <c r="H127"/>
  <c r="G127"/>
  <c r="L126"/>
  <c r="L125"/>
  <c r="L124"/>
  <c r="L123"/>
  <c r="L122"/>
  <c r="AV8"/>
  <c r="AW8"/>
  <c r="AL8"/>
  <c r="AQ8" s="1"/>
  <c r="AG22"/>
  <c r="AH22"/>
  <c r="AI22"/>
  <c r="AG8"/>
  <c r="AU8" s="1"/>
  <c r="AF8"/>
  <c r="AT8" s="1"/>
  <c r="AS8"/>
  <c r="Z8"/>
  <c r="AB8"/>
  <c r="Y8" s="1"/>
  <c r="X8"/>
  <c r="S8"/>
  <c r="U8"/>
  <c r="R8" s="1"/>
  <c r="R20" s="1"/>
  <c r="Q8"/>
  <c r="L8"/>
  <c r="N8"/>
  <c r="K8" s="1"/>
  <c r="J8"/>
  <c r="C8"/>
  <c r="F22"/>
  <c r="E22"/>
  <c r="E8"/>
  <c r="G8"/>
  <c r="D8" s="1"/>
  <c r="D20" s="1"/>
  <c r="N22"/>
  <c r="M22"/>
  <c r="L22"/>
  <c r="U22"/>
  <c r="T22"/>
  <c r="S22"/>
  <c r="AB22"/>
  <c r="AA22"/>
  <c r="Z22"/>
  <c r="AO22"/>
  <c r="AN22"/>
  <c r="AM18"/>
  <c r="AL18"/>
  <c r="AP16"/>
  <c r="AM16" s="1"/>
  <c r="AL16"/>
  <c r="AP13"/>
  <c r="AT13" s="1"/>
  <c r="AM13"/>
  <c r="AL13"/>
  <c r="AS13" s="1"/>
  <c r="AM11"/>
  <c r="AL11"/>
  <c r="AF11"/>
  <c r="AT11" s="1"/>
  <c r="AE11"/>
  <c r="AF18"/>
  <c r="AE18"/>
  <c r="AE17"/>
  <c r="AS17" s="1"/>
  <c r="AF16"/>
  <c r="AE16"/>
  <c r="AF15"/>
  <c r="AT15" s="1"/>
  <c r="AE15"/>
  <c r="AS15" s="1"/>
  <c r="AF10"/>
  <c r="AT10" s="1"/>
  <c r="AE10"/>
  <c r="Y18"/>
  <c r="X18"/>
  <c r="Y17"/>
  <c r="X17"/>
  <c r="Y16"/>
  <c r="X16"/>
  <c r="Y15"/>
  <c r="X15"/>
  <c r="Y14"/>
  <c r="X14"/>
  <c r="Y11"/>
  <c r="Y10"/>
  <c r="X11"/>
  <c r="X10"/>
  <c r="R18"/>
  <c r="Q18"/>
  <c r="R15"/>
  <c r="R16"/>
  <c r="Q16"/>
  <c r="Q15"/>
  <c r="R11"/>
  <c r="Q11"/>
  <c r="R10"/>
  <c r="Q10"/>
  <c r="K18"/>
  <c r="J18"/>
  <c r="K15"/>
  <c r="J15"/>
  <c r="K11"/>
  <c r="J11"/>
  <c r="K10"/>
  <c r="J10"/>
  <c r="K16"/>
  <c r="J16"/>
  <c r="G18"/>
  <c r="G22" s="1"/>
  <c r="C18"/>
  <c r="D16"/>
  <c r="C16"/>
  <c r="D15"/>
  <c r="C15"/>
  <c r="AW10"/>
  <c r="AW11"/>
  <c r="AW12"/>
  <c r="AW20"/>
  <c r="AW14"/>
  <c r="AW15"/>
  <c r="AW17"/>
  <c r="AW18"/>
  <c r="AW19"/>
  <c r="AV10"/>
  <c r="AV11"/>
  <c r="AV12"/>
  <c r="AV13"/>
  <c r="AV20"/>
  <c r="AV14"/>
  <c r="AV15"/>
  <c r="AV16"/>
  <c r="AV17"/>
  <c r="AV18"/>
  <c r="AV19"/>
  <c r="AU11"/>
  <c r="AU12"/>
  <c r="AU13"/>
  <c r="AU20"/>
  <c r="AU14"/>
  <c r="AU15"/>
  <c r="AU16"/>
  <c r="AU17"/>
  <c r="AU18"/>
  <c r="AU19"/>
  <c r="AU10"/>
  <c r="AT12"/>
  <c r="AT14"/>
  <c r="AT17"/>
  <c r="AT19"/>
  <c r="AS12"/>
  <c r="AS14"/>
  <c r="AS19"/>
  <c r="AS11" l="1"/>
  <c r="AW16"/>
  <c r="AW13"/>
  <c r="AT18"/>
  <c r="AU22"/>
  <c r="D18"/>
  <c r="D22" s="1"/>
  <c r="Q22"/>
  <c r="AE22"/>
  <c r="AS18"/>
  <c r="AX8"/>
  <c r="L145"/>
  <c r="L152"/>
  <c r="L178"/>
  <c r="L180"/>
  <c r="L183"/>
  <c r="AS16"/>
  <c r="AS10"/>
  <c r="AX10" s="1"/>
  <c r="AL22"/>
  <c r="AT16"/>
  <c r="L134"/>
  <c r="L156"/>
  <c r="L159"/>
  <c r="L160"/>
  <c r="L161"/>
  <c r="L162"/>
  <c r="L163"/>
  <c r="X22"/>
  <c r="Y22"/>
  <c r="J20"/>
  <c r="J22" s="1"/>
  <c r="C20"/>
  <c r="H20" s="1"/>
  <c r="E64" s="1"/>
  <c r="L167"/>
  <c r="C22"/>
  <c r="AP22"/>
  <c r="L141"/>
  <c r="AM22"/>
  <c r="H8"/>
  <c r="V8"/>
  <c r="X20"/>
  <c r="AJ8"/>
  <c r="AF20"/>
  <c r="AT20" s="1"/>
  <c r="L128"/>
  <c r="L138"/>
  <c r="L139"/>
  <c r="L149"/>
  <c r="L150"/>
  <c r="L171"/>
  <c r="L172"/>
  <c r="L174"/>
  <c r="L185"/>
  <c r="AV22"/>
  <c r="R22"/>
  <c r="AF22"/>
  <c r="Q20"/>
  <c r="V20" s="1"/>
  <c r="C64" s="1"/>
  <c r="AE20"/>
  <c r="AS20" s="1"/>
  <c r="AX20" s="1"/>
  <c r="L166"/>
  <c r="L155"/>
  <c r="L144"/>
  <c r="L133"/>
  <c r="L130"/>
  <c r="L127"/>
  <c r="AC8"/>
  <c r="Y20"/>
  <c r="O8"/>
  <c r="K20"/>
  <c r="K22" s="1"/>
  <c r="AX14"/>
  <c r="G68" s="1"/>
  <c r="AX13"/>
  <c r="G67" s="1"/>
  <c r="AX11"/>
  <c r="G65" s="1"/>
  <c r="AX19"/>
  <c r="G73" s="1"/>
  <c r="AX17"/>
  <c r="G71" s="1"/>
  <c r="AX15"/>
  <c r="G69" s="1"/>
  <c r="AX12"/>
  <c r="G66" s="1"/>
  <c r="AJ16"/>
  <c r="I70" s="1"/>
  <c r="AJ15"/>
  <c r="I69" s="1"/>
  <c r="H18"/>
  <c r="E72" s="1"/>
  <c r="AJ10"/>
  <c r="I63" s="1"/>
  <c r="AQ19"/>
  <c r="H73" s="1"/>
  <c r="AQ18"/>
  <c r="H72" s="1"/>
  <c r="AQ17"/>
  <c r="H71" s="1"/>
  <c r="AQ16"/>
  <c r="H70" s="1"/>
  <c r="AQ15"/>
  <c r="H69" s="1"/>
  <c r="AQ14"/>
  <c r="H68" s="1"/>
  <c r="AQ20"/>
  <c r="H64" s="1"/>
  <c r="AQ13"/>
  <c r="H67" s="1"/>
  <c r="AQ12"/>
  <c r="H66" s="1"/>
  <c r="AQ11"/>
  <c r="H65" s="1"/>
  <c r="AQ10"/>
  <c r="H63" s="1"/>
  <c r="AJ12"/>
  <c r="I66" s="1"/>
  <c r="AJ11"/>
  <c r="I65" s="1"/>
  <c r="AJ13"/>
  <c r="I67" s="1"/>
  <c r="AJ20"/>
  <c r="I64" s="1"/>
  <c r="AJ14"/>
  <c r="I68" s="1"/>
  <c r="AJ17"/>
  <c r="I71" s="1"/>
  <c r="AJ18"/>
  <c r="I72" s="1"/>
  <c r="AJ19"/>
  <c r="I73" s="1"/>
  <c r="AC15"/>
  <c r="D69" s="1"/>
  <c r="AC11"/>
  <c r="D65" s="1"/>
  <c r="AC19"/>
  <c r="D73" s="1"/>
  <c r="AC17"/>
  <c r="D71" s="1"/>
  <c r="AC13"/>
  <c r="D67" s="1"/>
  <c r="AC12"/>
  <c r="D66" s="1"/>
  <c r="V15"/>
  <c r="C69" s="1"/>
  <c r="V10"/>
  <c r="C63" s="1"/>
  <c r="O11"/>
  <c r="F65" s="1"/>
  <c r="O18"/>
  <c r="F72" s="1"/>
  <c r="H15"/>
  <c r="E69" s="1"/>
  <c r="O15"/>
  <c r="F69" s="1"/>
  <c r="V19"/>
  <c r="C73" s="1"/>
  <c r="V17"/>
  <c r="C71" s="1"/>
  <c r="V14"/>
  <c r="C68" s="1"/>
  <c r="V13"/>
  <c r="C67" s="1"/>
  <c r="V12"/>
  <c r="C66" s="1"/>
  <c r="V11"/>
  <c r="C65" s="1"/>
  <c r="O13"/>
  <c r="F67" s="1"/>
  <c r="O14"/>
  <c r="F68" s="1"/>
  <c r="O17"/>
  <c r="F71" s="1"/>
  <c r="O19"/>
  <c r="F73" s="1"/>
  <c r="O10"/>
  <c r="F63" s="1"/>
  <c r="O16"/>
  <c r="F70" s="1"/>
  <c r="H16"/>
  <c r="E70" s="1"/>
  <c r="O12"/>
  <c r="F66" s="1"/>
  <c r="H12"/>
  <c r="E66" s="1"/>
  <c r="H11"/>
  <c r="E65" s="1"/>
  <c r="H13"/>
  <c r="E67" s="1"/>
  <c r="H17"/>
  <c r="H10"/>
  <c r="E63" s="1"/>
  <c r="H19"/>
  <c r="E73" s="1"/>
  <c r="H14"/>
  <c r="E68" s="1"/>
  <c r="F93" l="1"/>
  <c r="I93"/>
  <c r="D91"/>
  <c r="D93"/>
  <c r="I91"/>
  <c r="H93"/>
  <c r="G93"/>
  <c r="E93"/>
  <c r="AS22"/>
  <c r="AW22"/>
  <c r="AT22"/>
  <c r="AX18"/>
  <c r="G72" s="1"/>
  <c r="G64"/>
  <c r="G63"/>
  <c r="M185"/>
  <c r="AX16"/>
  <c r="G70" s="1"/>
  <c r="G91" s="1"/>
  <c r="K66"/>
  <c r="E71"/>
  <c r="K73"/>
  <c r="M133"/>
  <c r="M155"/>
  <c r="M127"/>
  <c r="M172"/>
  <c r="M150"/>
  <c r="AJ22"/>
  <c r="AK19" s="1"/>
  <c r="I87" s="1"/>
  <c r="H22"/>
  <c r="O20"/>
  <c r="F64" s="1"/>
  <c r="M130"/>
  <c r="M144"/>
  <c r="M166"/>
  <c r="M174"/>
  <c r="M171"/>
  <c r="M149"/>
  <c r="M138"/>
  <c r="M184"/>
  <c r="M181"/>
  <c r="M179"/>
  <c r="M175"/>
  <c r="M164"/>
  <c r="M162"/>
  <c r="M160"/>
  <c r="M157"/>
  <c r="M165"/>
  <c r="M147"/>
  <c r="M141"/>
  <c r="M135"/>
  <c r="M143"/>
  <c r="M126"/>
  <c r="M122"/>
  <c r="M182"/>
  <c r="M173"/>
  <c r="M168"/>
  <c r="M176"/>
  <c r="M153"/>
  <c r="M148"/>
  <c r="M145"/>
  <c r="M140"/>
  <c r="M132"/>
  <c r="M125"/>
  <c r="I20"/>
  <c r="E78" s="1"/>
  <c r="AK17"/>
  <c r="I85" s="1"/>
  <c r="M139"/>
  <c r="M128"/>
  <c r="M187"/>
  <c r="M183"/>
  <c r="M180"/>
  <c r="M178"/>
  <c r="M169"/>
  <c r="M163"/>
  <c r="M161"/>
  <c r="M159"/>
  <c r="M156"/>
  <c r="M151"/>
  <c r="M142"/>
  <c r="M137"/>
  <c r="M134"/>
  <c r="M131"/>
  <c r="M124"/>
  <c r="M186"/>
  <c r="M177"/>
  <c r="M170"/>
  <c r="M167"/>
  <c r="M158"/>
  <c r="M152"/>
  <c r="M146"/>
  <c r="M154"/>
  <c r="M136"/>
  <c r="M129"/>
  <c r="M123"/>
  <c r="AC18"/>
  <c r="D72" s="1"/>
  <c r="AQ22"/>
  <c r="AC14"/>
  <c r="D68" s="1"/>
  <c r="AC10"/>
  <c r="D63" s="1"/>
  <c r="AC20"/>
  <c r="AC16"/>
  <c r="D70" s="1"/>
  <c r="V18"/>
  <c r="V16"/>
  <c r="K63" l="1"/>
  <c r="K68"/>
  <c r="E91"/>
  <c r="AK16"/>
  <c r="I84" s="1"/>
  <c r="AK15"/>
  <c r="I83" s="1"/>
  <c r="AK11"/>
  <c r="I79" s="1"/>
  <c r="AK14"/>
  <c r="I82" s="1"/>
  <c r="AX22"/>
  <c r="AY20" s="1"/>
  <c r="G78" s="1"/>
  <c r="K67"/>
  <c r="C72"/>
  <c r="K72" s="1"/>
  <c r="K69"/>
  <c r="D64"/>
  <c r="K64" s="1"/>
  <c r="C70"/>
  <c r="AK12"/>
  <c r="I80" s="1"/>
  <c r="AR10"/>
  <c r="H77" s="1"/>
  <c r="O22"/>
  <c r="P15" s="1"/>
  <c r="F83" s="1"/>
  <c r="K65"/>
  <c r="AK20"/>
  <c r="I78" s="1"/>
  <c r="AK10"/>
  <c r="I77" s="1"/>
  <c r="AK13"/>
  <c r="I81" s="1"/>
  <c r="AK18"/>
  <c r="I86" s="1"/>
  <c r="AR19"/>
  <c r="H87" s="1"/>
  <c r="AR20"/>
  <c r="H78" s="1"/>
  <c r="AR18"/>
  <c r="H86" s="1"/>
  <c r="AR14"/>
  <c r="H82" s="1"/>
  <c r="AR11"/>
  <c r="H79" s="1"/>
  <c r="AR12"/>
  <c r="H80" s="1"/>
  <c r="V22"/>
  <c r="AC22"/>
  <c r="AD18" s="1"/>
  <c r="D86" s="1"/>
  <c r="AR17"/>
  <c r="H85" s="1"/>
  <c r="AR16"/>
  <c r="H84" s="1"/>
  <c r="AR13"/>
  <c r="H81" s="1"/>
  <c r="AR15"/>
  <c r="H83" s="1"/>
  <c r="AY15"/>
  <c r="G83" s="1"/>
  <c r="AY17"/>
  <c r="G85" s="1"/>
  <c r="AY13"/>
  <c r="G81" s="1"/>
  <c r="AY12"/>
  <c r="G80" s="1"/>
  <c r="P11"/>
  <c r="F79" s="1"/>
  <c r="P19"/>
  <c r="F87" s="1"/>
  <c r="K70" l="1"/>
  <c r="F91"/>
  <c r="P18"/>
  <c r="F86" s="1"/>
  <c r="P13"/>
  <c r="F81" s="1"/>
  <c r="P14"/>
  <c r="F82" s="1"/>
  <c r="P10"/>
  <c r="F77" s="1"/>
  <c r="P12"/>
  <c r="F80" s="1"/>
  <c r="P17"/>
  <c r="F85" s="1"/>
  <c r="P20"/>
  <c r="F78" s="1"/>
  <c r="P16"/>
  <c r="F84" s="1"/>
  <c r="AY14"/>
  <c r="G82" s="1"/>
  <c r="AY19"/>
  <c r="G87" s="1"/>
  <c r="AY16"/>
  <c r="G84" s="1"/>
  <c r="AY18"/>
  <c r="G86" s="1"/>
  <c r="AY11"/>
  <c r="AY10"/>
  <c r="G77" s="1"/>
  <c r="G79"/>
  <c r="C88"/>
  <c r="W18"/>
  <c r="C86" s="1"/>
  <c r="AD16"/>
  <c r="D84" s="1"/>
  <c r="AD20"/>
  <c r="D78" s="1"/>
  <c r="AD14"/>
  <c r="D82" s="1"/>
  <c r="AD17"/>
  <c r="D85" s="1"/>
  <c r="AD13"/>
  <c r="D81" s="1"/>
  <c r="AD15"/>
  <c r="D83" s="1"/>
  <c r="AD11"/>
  <c r="D79" s="1"/>
  <c r="AD19"/>
  <c r="D87" s="1"/>
  <c r="AD12"/>
  <c r="D80" s="1"/>
  <c r="AD10"/>
  <c r="D77" s="1"/>
  <c r="W16"/>
  <c r="C84" s="1"/>
  <c r="W20"/>
  <c r="W14"/>
  <c r="C82" s="1"/>
  <c r="W12"/>
  <c r="C80" s="1"/>
  <c r="W19"/>
  <c r="C87" s="1"/>
  <c r="W13"/>
  <c r="C81" s="1"/>
  <c r="W10"/>
  <c r="C77" s="1"/>
  <c r="W17"/>
  <c r="C85" s="1"/>
  <c r="W15"/>
  <c r="C83" s="1"/>
  <c r="W11"/>
  <c r="C79" s="1"/>
  <c r="AK22"/>
  <c r="P22"/>
  <c r="D88" s="1"/>
  <c r="AR22"/>
  <c r="I88" s="1"/>
  <c r="AY22" l="1"/>
  <c r="H88"/>
  <c r="C78"/>
  <c r="K78" s="1"/>
  <c r="K71"/>
  <c r="K74" s="1"/>
  <c r="W22"/>
  <c r="AD22"/>
  <c r="G88" s="1"/>
  <c r="I13"/>
  <c r="E81" s="1"/>
  <c r="I11"/>
  <c r="E79" s="1"/>
  <c r="F88" l="1"/>
  <c r="I14"/>
  <c r="E82" s="1"/>
  <c r="I16"/>
  <c r="I18"/>
  <c r="I12"/>
  <c r="E80" s="1"/>
  <c r="I10"/>
  <c r="E77" s="1"/>
  <c r="I17"/>
  <c r="I15"/>
  <c r="E83" s="1"/>
  <c r="K83" s="1"/>
  <c r="I19"/>
  <c r="K82" l="1"/>
  <c r="E87"/>
  <c r="K87" s="1"/>
  <c r="K80"/>
  <c r="E85"/>
  <c r="K81"/>
  <c r="E86"/>
  <c r="K86" s="1"/>
  <c r="K79"/>
  <c r="E84"/>
  <c r="K84" s="1"/>
  <c r="K77"/>
  <c r="I22"/>
  <c r="K85" s="1"/>
  <c r="E88" l="1"/>
</calcChain>
</file>

<file path=xl/sharedStrings.xml><?xml version="1.0" encoding="utf-8"?>
<sst xmlns="http://schemas.openxmlformats.org/spreadsheetml/2006/main" count="546" uniqueCount="80">
  <si>
    <t>CONCERN</t>
  </si>
  <si>
    <t>LOC</t>
  </si>
  <si>
    <t>CC</t>
  </si>
  <si>
    <t>#Classes</t>
  </si>
  <si>
    <t>#Methods</t>
  </si>
  <si>
    <t>Adaptation</t>
  </si>
  <si>
    <t>Distribution</t>
  </si>
  <si>
    <t>Factory</t>
  </si>
  <si>
    <t>Glue</t>
  </si>
  <si>
    <t>Event</t>
  </si>
  <si>
    <t>Notification</t>
  </si>
  <si>
    <t>Publication</t>
  </si>
  <si>
    <t>Subscription</t>
  </si>
  <si>
    <t>Routing</t>
  </si>
  <si>
    <t>BFS</t>
  </si>
  <si>
    <t>INFRASTRUCTURE</t>
  </si>
  <si>
    <t>#Interf</t>
  </si>
  <si>
    <t>LOC*CC</t>
  </si>
  <si>
    <t>TOTAL</t>
  </si>
  <si>
    <t>Siena</t>
  </si>
  <si>
    <t>Common code is marked in bold.</t>
  </si>
  <si>
    <t>Conf &amp; Connect</t>
  </si>
  <si>
    <t>CORBA-NS</t>
  </si>
  <si>
    <t>JavaSpaces</t>
  </si>
  <si>
    <t>Protocol (TS)</t>
  </si>
  <si>
    <t>YANCEES (client)</t>
  </si>
  <si>
    <t>YANCEES (server)</t>
  </si>
  <si>
    <t>GLOSSARY</t>
  </si>
  <si>
    <t>Conversion between different data formats (e.g. Event, subscription)</t>
  </si>
  <si>
    <t>Configuration costs (e.g. initializing infrastructure components); and costs of connecting to the server</t>
  </si>
  <si>
    <t>RMI and multihreading layer necessary to support distribution and multiple users</t>
  </si>
  <si>
    <t>Creation of basic subscription language components: Filters, Patterns, Rules, Tuple filters</t>
  </si>
  <si>
    <t>Event representation (data structure)</t>
  </si>
  <si>
    <t>Code used to generate notifications (wrapping results, for example).</t>
  </si>
  <si>
    <t>Other kinds of interaction with the infrastructure other than publish/subscribe of events. In this case, the protocol is the tuple space manipulation</t>
  </si>
  <si>
    <t>Posting subscriptions and publication-time features such as filtering</t>
  </si>
  <si>
    <t>The routing of events based on subscriptions.</t>
  </si>
  <si>
    <t>Posting, parsing subscriptions and interacting with the infrastructure. Includes the implementation of filter, pattern, rule, guard, action interfaces</t>
  </si>
  <si>
    <t>High adaptation here comes from the fact that the subscriptions are</t>
  </si>
  <si>
    <t>represented as XML, requiring parsing from the API that uses Objects.</t>
  </si>
  <si>
    <t>YANCEES (clien+server)</t>
  </si>
  <si>
    <t>CASSIUS Benchmark Concern Analysis</t>
  </si>
  <si>
    <t>In this native case, subscription is combined with parsing</t>
  </si>
  <si>
    <t>In the JavaSpaces example, the model manipulation protocol is</t>
  </si>
  <si>
    <t>not based on the tuple space</t>
  </si>
  <si>
    <t xml:space="preserve">Adaptation costs are non-zero here since we do our own parsing </t>
  </si>
  <si>
    <t>from CASSIUS language to YANCEES Filter/Constraint core.</t>
  </si>
  <si>
    <t>The rest of the code: the difference between the total LOC of the project and the other concerns.</t>
  </si>
  <si>
    <t>Proj Total</t>
  </si>
  <si>
    <t>Thread &amp; Distrib</t>
  </si>
  <si>
    <t>Ratio</t>
  </si>
  <si>
    <t>STRING</t>
  </si>
  <si>
    <t>INTEGER</t>
  </si>
  <si>
    <t>FLOAT</t>
  </si>
  <si>
    <t>Side</t>
  </si>
  <si>
    <t>Infrastructure</t>
  </si>
  <si>
    <t>Server</t>
  </si>
  <si>
    <t>Benchmark</t>
  </si>
  <si>
    <t>CASSIUS</t>
  </si>
  <si>
    <t>Client</t>
  </si>
  <si>
    <t>YANCEES</t>
  </si>
  <si>
    <t>Type</t>
  </si>
  <si>
    <t>Accidental</t>
  </si>
  <si>
    <t>Essential</t>
  </si>
  <si>
    <t>YANCEES(Client)</t>
  </si>
  <si>
    <t>YANCEES(Client+Server)</t>
  </si>
  <si>
    <t>YANCEES(Server)</t>
  </si>
  <si>
    <t>Total</t>
  </si>
  <si>
    <t>Thread &amp; Distrib.</t>
  </si>
  <si>
    <t>YANCEES (Client+Server)</t>
  </si>
  <si>
    <t>YANCEES (Server)</t>
  </si>
  <si>
    <t>YANCEES (Client)</t>
  </si>
  <si>
    <t>Collection of all the metrics in the form readable by the treemap</t>
  </si>
  <si>
    <t>Label</t>
  </si>
  <si>
    <t>Middleware</t>
  </si>
  <si>
    <t>Domain</t>
  </si>
  <si>
    <t>Concern</t>
  </si>
  <si>
    <t>YANCEES Server Factory</t>
  </si>
  <si>
    <t>Factory belongs to adaptation. Hence, it is removed from domain and added to that concern</t>
  </si>
  <si>
    <t>Others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</si>
</sst>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0" fillId="0" borderId="4" xfId="0" applyBorder="1"/>
    <xf numFmtId="2" fontId="0" fillId="0" borderId="0" xfId="0" applyNumberFormat="1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0" fontId="0" fillId="0" borderId="8" xfId="0" applyNumberForma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5" xfId="0" applyBorder="1"/>
    <xf numFmtId="2" fontId="0" fillId="0" borderId="0" xfId="0" applyNumberFormat="1" applyFont="1" applyBorder="1"/>
    <xf numFmtId="10" fontId="0" fillId="0" borderId="5" xfId="0" applyNumberFormat="1" applyFont="1" applyBorder="1"/>
    <xf numFmtId="0" fontId="1" fillId="0" borderId="4" xfId="0" applyFont="1" applyBorder="1"/>
    <xf numFmtId="2" fontId="1" fillId="0" borderId="0" xfId="0" applyNumberFormat="1" applyFont="1" applyBorder="1"/>
    <xf numFmtId="0" fontId="1" fillId="0" borderId="0" xfId="0" applyFont="1" applyBorder="1"/>
    <xf numFmtId="0" fontId="0" fillId="0" borderId="0" xfId="0" applyFill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Fill="1" applyBorder="1"/>
    <xf numFmtId="0" fontId="1" fillId="0" borderId="0" xfId="0" applyFont="1" applyAlignment="1">
      <alignment horizontal="left"/>
    </xf>
    <xf numFmtId="2" fontId="0" fillId="0" borderId="0" xfId="0" applyNumberFormat="1"/>
    <xf numFmtId="2" fontId="1" fillId="0" borderId="0" xfId="0" applyNumberFormat="1" applyFont="1"/>
    <xf numFmtId="10" fontId="0" fillId="0" borderId="0" xfId="0" applyNumberFormat="1"/>
    <xf numFmtId="10" fontId="0" fillId="0" borderId="2" xfId="0" applyNumberFormat="1" applyBorder="1"/>
    <xf numFmtId="0" fontId="0" fillId="0" borderId="0" xfId="0" applyNumberFormat="1"/>
    <xf numFmtId="0" fontId="1" fillId="0" borderId="0" xfId="0" applyNumberFormat="1" applyFont="1"/>
    <xf numFmtId="1" fontId="0" fillId="0" borderId="0" xfId="0" applyNumberForma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BFS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33139520754350182"/>
                  <c:y val="5.5601132319193086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227721881986974"/>
                  <c:y val="8.059494853719279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9.1912608146203945E-2"/>
                  <c:y val="0.1541166810954921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Sheet1!$I$10:$I$20</c:f>
              <c:numCache>
                <c:formatCode>0.00%</c:formatCode>
                <c:ptCount val="11"/>
                <c:pt idx="0">
                  <c:v>0</c:v>
                </c:pt>
                <c:pt idx="1">
                  <c:v>1.7505316879900777E-2</c:v>
                </c:pt>
                <c:pt idx="2">
                  <c:v>0.28998581916276256</c:v>
                </c:pt>
                <c:pt idx="3">
                  <c:v>3.2267865216406962E-4</c:v>
                </c:pt>
                <c:pt idx="4">
                  <c:v>2.493983302576094E-2</c:v>
                </c:pt>
                <c:pt idx="5">
                  <c:v>5.6007794625620659E-2</c:v>
                </c:pt>
                <c:pt idx="6">
                  <c:v>9.4197857973445293E-2</c:v>
                </c:pt>
                <c:pt idx="7">
                  <c:v>3.8721438259688352E-3</c:v>
                </c:pt>
                <c:pt idx="8">
                  <c:v>0.21444437570453581</c:v>
                </c:pt>
                <c:pt idx="9">
                  <c:v>0.11347930571440784</c:v>
                </c:pt>
                <c:pt idx="10">
                  <c:v>0.1852448744354333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/>
              <a:t>CASSIUS: relative Contribution of Each Concern to the total reuse effort </a:t>
            </a:r>
            <a:endParaRPr lang="en-US" sz="14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Sheet1!$B$77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Sheet1!$C$77:$I$77</c:f>
              <c:numCache>
                <c:formatCode>0.00%</c:formatCode>
                <c:ptCount val="7"/>
                <c:pt idx="0">
                  <c:v>0.28341224527103576</c:v>
                </c:pt>
                <c:pt idx="1">
                  <c:v>0.23480342013692265</c:v>
                </c:pt>
                <c:pt idx="2">
                  <c:v>0</c:v>
                </c:pt>
                <c:pt idx="3">
                  <c:v>0.19071486641529492</c:v>
                </c:pt>
                <c:pt idx="4">
                  <c:v>0.23609496754676498</c:v>
                </c:pt>
                <c:pt idx="5">
                  <c:v>0.28335721553934345</c:v>
                </c:pt>
                <c:pt idx="6">
                  <c:v>0.13287185610333332</c:v>
                </c:pt>
              </c:numCache>
            </c:numRef>
          </c:val>
        </c:ser>
        <c:ser>
          <c:idx val="1"/>
          <c:order val="1"/>
          <c:tx>
            <c:strRef>
              <c:f>Sheet1!$B$79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Sheet1!$C$79:$I$79</c:f>
              <c:numCache>
                <c:formatCode>0.00%</c:formatCode>
                <c:ptCount val="7"/>
                <c:pt idx="0">
                  <c:v>8.5780589808427149E-2</c:v>
                </c:pt>
                <c:pt idx="1">
                  <c:v>2.0939401874238258E-2</c:v>
                </c:pt>
                <c:pt idx="2">
                  <c:v>1.7505316879900777E-2</c:v>
                </c:pt>
                <c:pt idx="3">
                  <c:v>5.1972230040877684E-2</c:v>
                </c:pt>
                <c:pt idx="4">
                  <c:v>8.9768967401949618E-2</c:v>
                </c:pt>
                <c:pt idx="5">
                  <c:v>6.8738947165878472E-2</c:v>
                </c:pt>
                <c:pt idx="6">
                  <c:v>0.12946488543401713</c:v>
                </c:pt>
              </c:numCache>
            </c:numRef>
          </c:val>
        </c:ser>
        <c:ser>
          <c:idx val="2"/>
          <c:order val="2"/>
          <c:tx>
            <c:strRef>
              <c:f>Sheet1!$B$80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Sheet1!$C$80:$I$80</c:f>
              <c:numCache>
                <c:formatCode>0.00%</c:formatCode>
                <c:ptCount val="7"/>
                <c:pt idx="0">
                  <c:v>0.24090486809627104</c:v>
                </c:pt>
                <c:pt idx="1">
                  <c:v>0.27593217485312599</c:v>
                </c:pt>
                <c:pt idx="2">
                  <c:v>0.28998581916276256</c:v>
                </c:pt>
                <c:pt idx="3">
                  <c:v>0.32100728254175998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Sheet1!$B$81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Sheet1!$C$81:$I$81</c:f>
              <c:numCache>
                <c:formatCode>0.00%</c:formatCode>
                <c:ptCount val="7"/>
                <c:pt idx="0">
                  <c:v>2.6806434315133486E-4</c:v>
                </c:pt>
                <c:pt idx="1">
                  <c:v>3.0704060814895352E-4</c:v>
                </c:pt>
                <c:pt idx="2">
                  <c:v>3.2267865216406962E-4</c:v>
                </c:pt>
                <c:pt idx="3">
                  <c:v>3.5719745732561983E-4</c:v>
                </c:pt>
                <c:pt idx="4">
                  <c:v>2.1844858434323357E-2</c:v>
                </c:pt>
                <c:pt idx="5">
                  <c:v>3.352084460558271E-2</c:v>
                </c:pt>
                <c:pt idx="6">
                  <c:v>1.3249330380674265E-3</c:v>
                </c:pt>
              </c:numCache>
            </c:numRef>
          </c:val>
        </c:ser>
        <c:ser>
          <c:idx val="4"/>
          <c:order val="4"/>
          <c:tx>
            <c:strRef>
              <c:f>Sheet1!$B$82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Sheet1!$C$82:$I$82</c:f>
              <c:numCache>
                <c:formatCode>0.00%</c:formatCode>
                <c:ptCount val="7"/>
                <c:pt idx="0">
                  <c:v>2.0718693082166673E-2</c:v>
                </c:pt>
                <c:pt idx="1">
                  <c:v>4.1034271497951254E-2</c:v>
                </c:pt>
                <c:pt idx="2">
                  <c:v>2.493983302576094E-2</c:v>
                </c:pt>
                <c:pt idx="3">
                  <c:v>2.7607791476697157E-2</c:v>
                </c:pt>
                <c:pt idx="4">
                  <c:v>3.6604641916289475E-2</c:v>
                </c:pt>
                <c:pt idx="5">
                  <c:v>0</c:v>
                </c:pt>
                <c:pt idx="6">
                  <c:v>0.10240407451223141</c:v>
                </c:pt>
              </c:numCache>
            </c:numRef>
          </c:val>
        </c:ser>
        <c:ser>
          <c:idx val="5"/>
          <c:order val="5"/>
          <c:tx>
            <c:strRef>
              <c:f>Sheet1!$B$83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Sheet1!$C$83:$I$83</c:f>
              <c:numCache>
                <c:formatCode>0.00%</c:formatCode>
                <c:ptCount val="7"/>
                <c:pt idx="0">
                  <c:v>4.6464486146231374E-2</c:v>
                </c:pt>
                <c:pt idx="1">
                  <c:v>7.0926380482408263E-2</c:v>
                </c:pt>
                <c:pt idx="2">
                  <c:v>5.6007794625620659E-2</c:v>
                </c:pt>
                <c:pt idx="3">
                  <c:v>5.6556264076556471E-2</c:v>
                </c:pt>
                <c:pt idx="4">
                  <c:v>0.10198213946574806</c:v>
                </c:pt>
                <c:pt idx="5">
                  <c:v>0.11674710074204755</c:v>
                </c:pt>
                <c:pt idx="6">
                  <c:v>7.7508582726944455E-2</c:v>
                </c:pt>
              </c:numCache>
            </c:numRef>
          </c:val>
        </c:ser>
        <c:ser>
          <c:idx val="6"/>
          <c:order val="6"/>
          <c:tx>
            <c:strRef>
              <c:f>Sheet1!$B$84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Sheet1!$C$84:$I$84</c:f>
              <c:numCache>
                <c:formatCode>0.00%</c:formatCode>
                <c:ptCount val="7"/>
                <c:pt idx="0">
                  <c:v>7.8254594019672372E-2</c:v>
                </c:pt>
                <c:pt idx="1">
                  <c:v>8.9632727187013872E-2</c:v>
                </c:pt>
                <c:pt idx="2">
                  <c:v>9.4197857973445293E-2</c:v>
                </c:pt>
                <c:pt idx="3">
                  <c:v>0.10427474866396245</c:v>
                </c:pt>
                <c:pt idx="4">
                  <c:v>0.40202841212289581</c:v>
                </c:pt>
                <c:pt idx="5">
                  <c:v>0.46114484592081728</c:v>
                </c:pt>
                <c:pt idx="6">
                  <c:v>0.31073124568580129</c:v>
                </c:pt>
              </c:numCache>
            </c:numRef>
          </c:val>
        </c:ser>
        <c:ser>
          <c:idx val="7"/>
          <c:order val="7"/>
          <c:tx>
            <c:strRef>
              <c:f>Sheet1!$B$85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Sheet1!$C$85:$I$85</c:f>
              <c:numCache>
                <c:formatCode>0.00%</c:formatCode>
                <c:ptCount val="7"/>
                <c:pt idx="0">
                  <c:v>3.2167721178160179E-3</c:v>
                </c:pt>
                <c:pt idx="1">
                  <c:v>1.6375499101277519E-2</c:v>
                </c:pt>
                <c:pt idx="2">
                  <c:v>3.8721438259688352E-3</c:v>
                </c:pt>
                <c:pt idx="3">
                  <c:v>4.2863694879074375E-3</c:v>
                </c:pt>
                <c:pt idx="4">
                  <c:v>7.1040190030319849E-3</c:v>
                </c:pt>
                <c:pt idx="5">
                  <c:v>5.0917738641391456E-3</c:v>
                </c:pt>
                <c:pt idx="6">
                  <c:v>1.0599464304539412E-2</c:v>
                </c:pt>
              </c:numCache>
            </c:numRef>
          </c:val>
        </c:ser>
        <c:ser>
          <c:idx val="8"/>
          <c:order val="8"/>
          <c:tx>
            <c:strRef>
              <c:f>Sheet1!$B$86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Sheet1!$C$86:$I$86</c:f>
              <c:numCache>
                <c:formatCode>0.00%</c:formatCode>
                <c:ptCount val="7"/>
                <c:pt idx="0">
                  <c:v>2.2215832438666875E-2</c:v>
                </c:pt>
                <c:pt idx="1">
                  <c:v>9.8699519377801762E-2</c:v>
                </c:pt>
                <c:pt idx="2">
                  <c:v>0.21444437570453581</c:v>
                </c:pt>
                <c:pt idx="3">
                  <c:v>3.3085414484785539E-2</c:v>
                </c:pt>
                <c:pt idx="4">
                  <c:v>5.3553374022856495E-2</c:v>
                </c:pt>
                <c:pt idx="5">
                  <c:v>3.1399272162191405E-2</c:v>
                </c:pt>
                <c:pt idx="6">
                  <c:v>9.2366760368129158E-2</c:v>
                </c:pt>
              </c:numCache>
            </c:numRef>
          </c:val>
        </c:ser>
        <c:ser>
          <c:idx val="9"/>
          <c:order val="9"/>
          <c:tx>
            <c:strRef>
              <c:f>Sheet1!$B$87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Sheet1!$C$87:$I$87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0.11347930571440784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Sheet1!$B$78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Sheet1!$C$76:$I$76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Sheet1!$C$78:$I$78</c:f>
              <c:numCache>
                <c:formatCode>0.00%</c:formatCode>
                <c:ptCount val="7"/>
                <c:pt idx="0">
                  <c:v>0.21876385467656131</c:v>
                </c:pt>
                <c:pt idx="1">
                  <c:v>0.15134956488111159</c:v>
                </c:pt>
                <c:pt idx="2">
                  <c:v>0.1852448744354333</c:v>
                </c:pt>
                <c:pt idx="3">
                  <c:v>0.21013783535483282</c:v>
                </c:pt>
                <c:pt idx="4">
                  <c:v>5.1018620086140269E-2</c:v>
                </c:pt>
                <c:pt idx="5">
                  <c:v>0</c:v>
                </c:pt>
                <c:pt idx="6">
                  <c:v>0.14272819782693644</c:v>
                </c:pt>
              </c:numCache>
            </c:numRef>
          </c:val>
        </c:ser>
        <c:gapWidth val="55"/>
        <c:overlap val="100"/>
        <c:axId val="65744256"/>
        <c:axId val="65758336"/>
      </c:barChart>
      <c:catAx>
        <c:axId val="65744256"/>
        <c:scaling>
          <c:orientation val="minMax"/>
        </c:scaling>
        <c:axPos val="l"/>
        <c:majorTickMark val="none"/>
        <c:tickLblPos val="nextTo"/>
        <c:crossAx val="65758336"/>
        <c:crosses val="autoZero"/>
        <c:auto val="1"/>
        <c:lblAlgn val="ctr"/>
        <c:lblOffset val="100"/>
      </c:catAx>
      <c:valAx>
        <c:axId val="65758336"/>
        <c:scaling>
          <c:orientation val="minMax"/>
        </c:scaling>
        <c:axPos val="b"/>
        <c:majorGridlines/>
        <c:numFmt formatCode="0%" sourceLinked="0"/>
        <c:majorTickMark val="none"/>
        <c:tickLblPos val="nextTo"/>
        <c:crossAx val="657442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Siena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3077792359288423"/>
                  <c:y val="0.15595017245880921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9242247496840733E-2"/>
                  <c:y val="6.3142598012944723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0.14050038884028432"/>
                  <c:y val="-0.2085078534031414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-7.3245358219111495E-3"/>
                  <c:y val="0.11625613225048467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0485880237192555"/>
                  <c:y val="0.14539067760508967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Sheet1!$P$10:$P$20</c:f>
              <c:numCache>
                <c:formatCode>0.00%</c:formatCode>
                <c:ptCount val="11"/>
                <c:pt idx="0">
                  <c:v>0.19071486641529492</c:v>
                </c:pt>
                <c:pt idx="1">
                  <c:v>5.1972230040877684E-2</c:v>
                </c:pt>
                <c:pt idx="2">
                  <c:v>0.32100728254175998</c:v>
                </c:pt>
                <c:pt idx="3">
                  <c:v>3.5719745732561983E-4</c:v>
                </c:pt>
                <c:pt idx="4">
                  <c:v>2.7607791476697157E-2</c:v>
                </c:pt>
                <c:pt idx="5">
                  <c:v>5.6556264076556471E-2</c:v>
                </c:pt>
                <c:pt idx="6">
                  <c:v>0.10427474866396245</c:v>
                </c:pt>
                <c:pt idx="7">
                  <c:v>4.2863694879074375E-3</c:v>
                </c:pt>
                <c:pt idx="8">
                  <c:v>3.3085414484785539E-2</c:v>
                </c:pt>
                <c:pt idx="9">
                  <c:v>0</c:v>
                </c:pt>
                <c:pt idx="10">
                  <c:v>0.21013783535483282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CORBA-NS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8324705939535407"/>
                  <c:y val="0.13849816547800683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4.8450471468844174E-2"/>
                  <c:y val="-3.4904013961605591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0.11498432487605716"/>
                  <c:y val="-1.9458644240150643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4.9836444055604438E-2"/>
                  <c:y val="8.4676931744788506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0.12436691941285119"/>
                  <c:y val="0.1802946915666963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Sheet1!$V$10:$V$20</c:f>
              <c:numCache>
                <c:formatCode>0.00</c:formatCode>
                <c:ptCount val="11"/>
                <c:pt idx="0">
                  <c:v>2114.5090909090904</c:v>
                </c:pt>
                <c:pt idx="1">
                  <c:v>640</c:v>
                </c:pt>
                <c:pt idx="2">
                  <c:v>1797.366</c:v>
                </c:pt>
                <c:pt idx="3">
                  <c:v>2</c:v>
                </c:pt>
                <c:pt idx="4">
                  <c:v>154.58000000000001</c:v>
                </c:pt>
                <c:pt idx="5">
                  <c:v>346.66666666666669</c:v>
                </c:pt>
                <c:pt idx="6">
                  <c:v>583.84933333333333</c:v>
                </c:pt>
                <c:pt idx="7">
                  <c:v>24</c:v>
                </c:pt>
                <c:pt idx="8">
                  <c:v>165.75</c:v>
                </c:pt>
                <c:pt idx="9">
                  <c:v>0</c:v>
                </c:pt>
                <c:pt idx="10">
                  <c:v>1632.1742168674698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JavaSpaces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7398780013609488"/>
                  <c:y val="0.14286116722320705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5688733352775351E-2"/>
                  <c:y val="4.5690934575586532E-2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3.9864878001360952E-2"/>
                  <c:y val="3.5806159046873086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6.8229561582579756E-2"/>
                  <c:y val="0.1541166810954921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Sheet1!$AC$10:$AC$20</c:f>
              <c:numCache>
                <c:formatCode>0.00</c:formatCode>
                <c:ptCount val="11"/>
                <c:pt idx="0">
                  <c:v>1529.4616666666666</c:v>
                </c:pt>
                <c:pt idx="1">
                  <c:v>136.39500000000001</c:v>
                </c:pt>
                <c:pt idx="2">
                  <c:v>1797.366</c:v>
                </c:pt>
                <c:pt idx="3">
                  <c:v>2</c:v>
                </c:pt>
                <c:pt idx="4">
                  <c:v>267.28888888888889</c:v>
                </c:pt>
                <c:pt idx="5">
                  <c:v>462</c:v>
                </c:pt>
                <c:pt idx="6">
                  <c:v>583.84933333333333</c:v>
                </c:pt>
                <c:pt idx="7">
                  <c:v>106.66666666666667</c:v>
                </c:pt>
                <c:pt idx="8">
                  <c:v>642.90857142857158</c:v>
                </c:pt>
                <c:pt idx="9">
                  <c:v>0</c:v>
                </c:pt>
                <c:pt idx="10">
                  <c:v>985.86024691358034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1843224458053891"/>
                  <c:y val="0.16031283066056534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3.1575775250316046E-2"/>
                  <c:y val="-0.15064448750189036"/>
                </c:manualLayout>
              </c:layout>
              <c:showCatName val="1"/>
              <c:showPercent val="1"/>
            </c:dLbl>
            <c:dLbl>
              <c:idx val="7"/>
              <c:layout>
                <c:manualLayout>
                  <c:x val="6.6324001166520961E-3"/>
                  <c:y val="0.12266562229459559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0.16896155341693436"/>
                  <c:y val="1.06886671888527E-2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7.7266938854865602E-2"/>
                  <c:y val="0.16720568633109381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Sheet1!$AJ$10:$AJ$20</c:f>
              <c:numCache>
                <c:formatCode>0.00</c:formatCode>
                <c:ptCount val="11"/>
                <c:pt idx="0">
                  <c:v>200.57142857142856</c:v>
                </c:pt>
                <c:pt idx="1">
                  <c:v>195.42857142857144</c:v>
                </c:pt>
                <c:pt idx="2">
                  <c:v>0</c:v>
                </c:pt>
                <c:pt idx="3">
                  <c:v>2</c:v>
                </c:pt>
                <c:pt idx="4">
                  <c:v>154.58000000000001</c:v>
                </c:pt>
                <c:pt idx="5">
                  <c:v>117</c:v>
                </c:pt>
                <c:pt idx="6">
                  <c:v>469.05200000000002</c:v>
                </c:pt>
                <c:pt idx="7">
                  <c:v>16</c:v>
                </c:pt>
                <c:pt idx="8">
                  <c:v>139.42857142857142</c:v>
                </c:pt>
                <c:pt idx="9">
                  <c:v>0</c:v>
                </c:pt>
                <c:pt idx="10">
                  <c:v>215.44967741935486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(server) Development</a:t>
            </a:r>
            <a:r>
              <a:rPr lang="en-US" sz="1400" baseline="0"/>
              <a:t> 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5855570137066199"/>
                  <c:y val="0.1515871707136084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3005249343832018E-2"/>
                  <c:y val="-0.10757959901609157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9.3206109652960042E-2"/>
                  <c:y val="-1.2652705061082076E-3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22242952269855107"/>
                  <c:y val="-4.3630017452007024E-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-0.37855508748121031"/>
                  <c:y val="0.1279386129365408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Sheet1!$AQ$10:$AQ$20</c:f>
              <c:numCache>
                <c:formatCode>0.00</c:formatCode>
                <c:ptCount val="11"/>
                <c:pt idx="0">
                  <c:v>779.1</c:v>
                </c:pt>
                <c:pt idx="1">
                  <c:v>189</c:v>
                </c:pt>
                <c:pt idx="2">
                  <c:v>0</c:v>
                </c:pt>
                <c:pt idx="3">
                  <c:v>92.166666666666671</c:v>
                </c:pt>
                <c:pt idx="4">
                  <c:v>0</c:v>
                </c:pt>
                <c:pt idx="5">
                  <c:v>321</c:v>
                </c:pt>
                <c:pt idx="6">
                  <c:v>1267.9329473684211</c:v>
                </c:pt>
                <c:pt idx="7">
                  <c:v>14</c:v>
                </c:pt>
                <c:pt idx="8">
                  <c:v>86.333333333333343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77" l="0.70000000000000062" r="0.70000000000000062" t="0.7500000000000037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YANCEES (client+ server) </a:t>
            </a:r>
            <a:r>
              <a:rPr lang="en-US" sz="1400" baseline="0"/>
              <a:t>Concerns</a:t>
            </a:r>
            <a:endParaRPr lang="en-US" sz="1400"/>
          </a:p>
        </c:rich>
      </c:tx>
      <c:layout/>
    </c:title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0.12769174686497523"/>
                  <c:y val="0.17776518118481327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0.24436108680859392"/>
                  <c:y val="3.6964931085185032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-1.6106493632740363E-2"/>
                  <c:y val="-9.3454123208421471E-3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0.15539491591328861"/>
                  <c:y val="0.13146445699523249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-2.3400408282298047E-2"/>
                  <c:y val="0.12845364224759864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0.20527170214834256"/>
                  <c:y val="-9.1497986835415199E-2"/>
                </c:manualLayout>
              </c:layout>
              <c:showCatName val="1"/>
              <c:showPercent val="1"/>
            </c:dLbl>
            <c:dLbl>
              <c:idx val="8"/>
              <c:layout>
                <c:manualLayout>
                  <c:x val="-3.9496694857587195E-2"/>
                  <c:y val="8.8173860466394891E-3"/>
                </c:manualLayout>
              </c:layout>
              <c:showCatName val="1"/>
              <c:showPercent val="1"/>
            </c:dLbl>
            <c:dLbl>
              <c:idx val="10"/>
              <c:layout>
                <c:manualLayout>
                  <c:x val="4.4496451832410119E-2"/>
                  <c:y val="0.15411668109549212"/>
                </c:manualLayout>
              </c:layout>
              <c:showCatName val="1"/>
              <c:showPercent val="1"/>
            </c:dLbl>
            <c:showCatName val="1"/>
            <c:showPercent val="1"/>
            <c:showLeaderLines val="1"/>
          </c:dLbls>
          <c:cat>
            <c:strRef>
              <c:f>Sheet1!$B$10:$B$20</c:f>
              <c:strCache>
                <c:ptCount val="11"/>
                <c:pt idx="0">
                  <c:v>Adaptation</c:v>
                </c:pt>
                <c:pt idx="1">
                  <c:v>Conf &amp; Connect</c:v>
                </c:pt>
                <c:pt idx="2">
                  <c:v>Thread &amp; Distrib</c:v>
                </c:pt>
                <c:pt idx="3">
                  <c:v>Factory</c:v>
                </c:pt>
                <c:pt idx="4">
                  <c:v>Event</c:v>
                </c:pt>
                <c:pt idx="5">
                  <c:v>Notification</c:v>
                </c:pt>
                <c:pt idx="6">
                  <c:v>Protocol (TS)</c:v>
                </c:pt>
                <c:pt idx="7">
                  <c:v>Publication</c:v>
                </c:pt>
                <c:pt idx="8">
                  <c:v>Subscription</c:v>
                </c:pt>
                <c:pt idx="9">
                  <c:v>Routing</c:v>
                </c:pt>
                <c:pt idx="10">
                  <c:v>Glue</c:v>
                </c:pt>
              </c:strCache>
            </c:strRef>
          </c:cat>
          <c:val>
            <c:numRef>
              <c:f>Sheet1!$AX$10:$AX$20</c:f>
              <c:numCache>
                <c:formatCode>0.00</c:formatCode>
                <c:ptCount val="11"/>
                <c:pt idx="0">
                  <c:v>997.02</c:v>
                </c:pt>
                <c:pt idx="1">
                  <c:v>379.09090909090907</c:v>
                </c:pt>
                <c:pt idx="2">
                  <c:v>0</c:v>
                </c:pt>
                <c:pt idx="3">
                  <c:v>92.250000000000014</c:v>
                </c:pt>
                <c:pt idx="4">
                  <c:v>154.58000000000001</c:v>
                </c:pt>
                <c:pt idx="5">
                  <c:v>430.66666666666669</c:v>
                </c:pt>
                <c:pt idx="6">
                  <c:v>1697.7505773195876</c:v>
                </c:pt>
                <c:pt idx="7">
                  <c:v>30</c:v>
                </c:pt>
                <c:pt idx="8">
                  <c:v>226.15384615384613</c:v>
                </c:pt>
                <c:pt idx="9">
                  <c:v>0</c:v>
                </c:pt>
                <c:pt idx="10">
                  <c:v>215.44967741935486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CASSIUS development effort: main concerns (LOC*CC)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Sheet1!$B$91</c:f>
              <c:strCache>
                <c:ptCount val="1"/>
                <c:pt idx="0">
                  <c:v>Domain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Sheet1!$C$90:$I$90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Sheet1!$C$91:$I$91</c:f>
              <c:numCache>
                <c:formatCode>0</c:formatCode>
                <c:ptCount val="7"/>
                <c:pt idx="0">
                  <c:v>3142.0814948240168</c:v>
                </c:pt>
                <c:pt idx="1">
                  <c:v>1264.346</c:v>
                </c:pt>
                <c:pt idx="2">
                  <c:v>2062.7134603174609</c:v>
                </c:pt>
                <c:pt idx="3">
                  <c:v>1274.846</c:v>
                </c:pt>
                <c:pt idx="4">
                  <c:v>2539.1510901401002</c:v>
                </c:pt>
                <c:pt idx="5">
                  <c:v>1576.7662807017543</c:v>
                </c:pt>
                <c:pt idx="6">
                  <c:v>896.06057142857151</c:v>
                </c:pt>
              </c:numCache>
            </c:numRef>
          </c:val>
        </c:ser>
        <c:ser>
          <c:idx val="1"/>
          <c:order val="1"/>
          <c:tx>
            <c:strRef>
              <c:f>Sheet1!$B$92</c:f>
              <c:strCache>
                <c:ptCount val="1"/>
                <c:pt idx="0">
                  <c:v>Adaptation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Sheet1!$C$90:$I$90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Sheet1!$C$92:$I$92</c:f>
              <c:numCache>
                <c:formatCode>0</c:formatCode>
                <c:ptCount val="7"/>
                <c:pt idx="0">
                  <c:v>0</c:v>
                </c:pt>
                <c:pt idx="1">
                  <c:v>1067.8399999999999</c:v>
                </c:pt>
                <c:pt idx="2">
                  <c:v>1529.4616666666666</c:v>
                </c:pt>
                <c:pt idx="3">
                  <c:v>2114.5090909090904</c:v>
                </c:pt>
                <c:pt idx="4">
                  <c:v>997.02</c:v>
                </c:pt>
                <c:pt idx="5">
                  <c:v>891.6</c:v>
                </c:pt>
                <c:pt idx="6">
                  <c:v>200.57142857142856</c:v>
                </c:pt>
              </c:numCache>
            </c:numRef>
          </c:val>
        </c:ser>
        <c:ser>
          <c:idx val="2"/>
          <c:order val="2"/>
          <c:tx>
            <c:strRef>
              <c:f>Sheet1!$B$93</c:f>
              <c:strCache>
                <c:ptCount val="1"/>
                <c:pt idx="0">
                  <c:v>Middleware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Sheet1!$C$90:$I$90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Sheet1!$C$93:$I$93</c:f>
              <c:numCache>
                <c:formatCode>0</c:formatCode>
                <c:ptCount val="7"/>
                <c:pt idx="0">
                  <c:v>1907.866</c:v>
                </c:pt>
                <c:pt idx="1">
                  <c:v>2090.366</c:v>
                </c:pt>
                <c:pt idx="2">
                  <c:v>1935.761</c:v>
                </c:pt>
                <c:pt idx="3">
                  <c:v>2439.366</c:v>
                </c:pt>
                <c:pt idx="4">
                  <c:v>471.34090909090907</c:v>
                </c:pt>
                <c:pt idx="5">
                  <c:v>281.16666666666669</c:v>
                </c:pt>
                <c:pt idx="6">
                  <c:v>197.42857142857144</c:v>
                </c:pt>
              </c:numCache>
            </c:numRef>
          </c:val>
        </c:ser>
        <c:ser>
          <c:idx val="3"/>
          <c:order val="3"/>
          <c:tx>
            <c:strRef>
              <c:f>Sheet1!$B$94</c:f>
              <c:strCache>
                <c:ptCount val="1"/>
                <c:pt idx="0">
                  <c:v>Others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Sheet1!$C$90:$I$90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JavaSpaces</c:v>
                </c:pt>
                <c:pt idx="3">
                  <c:v>CORBA-NS</c:v>
                </c:pt>
                <c:pt idx="4">
                  <c:v>YANCEES (Client+Server)</c:v>
                </c:pt>
                <c:pt idx="5">
                  <c:v>YANCEES (Server)</c:v>
                </c:pt>
                <c:pt idx="6">
                  <c:v>YANCEES (Client)</c:v>
                </c:pt>
              </c:strCache>
            </c:strRef>
          </c:cat>
          <c:val>
            <c:numRef>
              <c:f>Sheet1!$C$94:$I$94</c:f>
              <c:numCache>
                <c:formatCode>0</c:formatCode>
                <c:ptCount val="7"/>
                <c:pt idx="0">
                  <c:v>1148.1693827160493</c:v>
                </c:pt>
                <c:pt idx="1">
                  <c:v>1176.5919999999999</c:v>
                </c:pt>
                <c:pt idx="2">
                  <c:v>985.86024691358034</c:v>
                </c:pt>
                <c:pt idx="3">
                  <c:v>1632.1742168674698</c:v>
                </c:pt>
                <c:pt idx="4">
                  <c:v>215.44967741935486</c:v>
                </c:pt>
                <c:pt idx="5">
                  <c:v>0</c:v>
                </c:pt>
                <c:pt idx="6">
                  <c:v>215.44967741935486</c:v>
                </c:pt>
              </c:numCache>
            </c:numRef>
          </c:val>
        </c:ser>
        <c:gapWidth val="75"/>
        <c:overlap val="100"/>
        <c:axId val="65603840"/>
        <c:axId val="65613824"/>
      </c:barChart>
      <c:catAx>
        <c:axId val="65603840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5613824"/>
        <c:crosses val="autoZero"/>
        <c:auto val="1"/>
        <c:lblAlgn val="ctr"/>
        <c:lblOffset val="100"/>
      </c:catAx>
      <c:valAx>
        <c:axId val="65613824"/>
        <c:scaling>
          <c:orientation val="minMax"/>
        </c:scaling>
        <c:axPos val="b"/>
        <c:majorGridlines/>
        <c:numFmt formatCode="0" sourceLinked="0"/>
        <c:majorTickMark val="none"/>
        <c:tickLblPos val="nextTo"/>
        <c:crossAx val="6560384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CASSIUS: contribution of each concern</a:t>
            </a:r>
            <a:r>
              <a:rPr lang="en-US" sz="1400" baseline="0"/>
              <a:t> to the total reuse effort (LOC*CC)</a:t>
            </a:r>
            <a:endParaRPr lang="en-US" sz="14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Sheet1!$B$63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Sheet1!$C$63:$I$63</c:f>
              <c:numCache>
                <c:formatCode>0.00</c:formatCode>
                <c:ptCount val="7"/>
                <c:pt idx="0">
                  <c:v>2114.5090909090904</c:v>
                </c:pt>
                <c:pt idx="1">
                  <c:v>1529.4616666666666</c:v>
                </c:pt>
                <c:pt idx="2">
                  <c:v>0</c:v>
                </c:pt>
                <c:pt idx="3">
                  <c:v>1067.8399999999999</c:v>
                </c:pt>
                <c:pt idx="4">
                  <c:v>997.02</c:v>
                </c:pt>
                <c:pt idx="5">
                  <c:v>779.1</c:v>
                </c:pt>
                <c:pt idx="6">
                  <c:v>200.57142857142856</c:v>
                </c:pt>
              </c:numCache>
            </c:numRef>
          </c:val>
        </c:ser>
        <c:ser>
          <c:idx val="1"/>
          <c:order val="1"/>
          <c:tx>
            <c:strRef>
              <c:f>Sheet1!$B$65</c:f>
              <c:strCache>
                <c:ptCount val="1"/>
                <c:pt idx="0">
                  <c:v>Conf &amp; Connect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Sheet1!$C$65:$I$65</c:f>
              <c:numCache>
                <c:formatCode>0.00</c:formatCode>
                <c:ptCount val="7"/>
                <c:pt idx="0">
                  <c:v>640</c:v>
                </c:pt>
                <c:pt idx="1">
                  <c:v>136.39500000000001</c:v>
                </c:pt>
                <c:pt idx="2">
                  <c:v>108.5</c:v>
                </c:pt>
                <c:pt idx="3">
                  <c:v>291</c:v>
                </c:pt>
                <c:pt idx="4">
                  <c:v>379.09090909090907</c:v>
                </c:pt>
                <c:pt idx="5">
                  <c:v>189</c:v>
                </c:pt>
                <c:pt idx="6">
                  <c:v>195.42857142857144</c:v>
                </c:pt>
              </c:numCache>
            </c:numRef>
          </c:val>
        </c:ser>
        <c:ser>
          <c:idx val="2"/>
          <c:order val="2"/>
          <c:tx>
            <c:strRef>
              <c:f>Sheet1!$B$66</c:f>
              <c:strCache>
                <c:ptCount val="1"/>
                <c:pt idx="0">
                  <c:v>Thread &amp; Distrib.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Sheet1!$C$66:$I$66</c:f>
              <c:numCache>
                <c:formatCode>0.00</c:formatCode>
                <c:ptCount val="7"/>
                <c:pt idx="0">
                  <c:v>1797.366</c:v>
                </c:pt>
                <c:pt idx="1">
                  <c:v>1797.366</c:v>
                </c:pt>
                <c:pt idx="2">
                  <c:v>1797.366</c:v>
                </c:pt>
                <c:pt idx="3">
                  <c:v>1797.366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Sheet1!$B$67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Sheet1!$C$67:$I$67</c:f>
              <c:numCache>
                <c:formatCode>0.00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92.250000000000014</c:v>
                </c:pt>
                <c:pt idx="5">
                  <c:v>92.166666666666671</c:v>
                </c:pt>
                <c:pt idx="6">
                  <c:v>2</c:v>
                </c:pt>
              </c:numCache>
            </c:numRef>
          </c:val>
        </c:ser>
        <c:ser>
          <c:idx val="4"/>
          <c:order val="4"/>
          <c:tx>
            <c:strRef>
              <c:f>Sheet1!$B$68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Sheet1!$C$68:$I$68</c:f>
              <c:numCache>
                <c:formatCode>0.00</c:formatCode>
                <c:ptCount val="7"/>
                <c:pt idx="0">
                  <c:v>154.58000000000001</c:v>
                </c:pt>
                <c:pt idx="1">
                  <c:v>267.28888888888889</c:v>
                </c:pt>
                <c:pt idx="2">
                  <c:v>154.58000000000001</c:v>
                </c:pt>
                <c:pt idx="3">
                  <c:v>154.58000000000001</c:v>
                </c:pt>
                <c:pt idx="4">
                  <c:v>154.58000000000001</c:v>
                </c:pt>
                <c:pt idx="5">
                  <c:v>0</c:v>
                </c:pt>
                <c:pt idx="6">
                  <c:v>154.58000000000001</c:v>
                </c:pt>
              </c:numCache>
            </c:numRef>
          </c:val>
        </c:ser>
        <c:ser>
          <c:idx val="5"/>
          <c:order val="5"/>
          <c:tx>
            <c:strRef>
              <c:f>Sheet1!$B$69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Sheet1!$C$69:$I$69</c:f>
              <c:numCache>
                <c:formatCode>0.00</c:formatCode>
                <c:ptCount val="7"/>
                <c:pt idx="0">
                  <c:v>346.66666666666669</c:v>
                </c:pt>
                <c:pt idx="1">
                  <c:v>462</c:v>
                </c:pt>
                <c:pt idx="2">
                  <c:v>347.14285714285717</c:v>
                </c:pt>
                <c:pt idx="3">
                  <c:v>316.66666666666669</c:v>
                </c:pt>
                <c:pt idx="4">
                  <c:v>430.66666666666669</c:v>
                </c:pt>
                <c:pt idx="5">
                  <c:v>321</c:v>
                </c:pt>
                <c:pt idx="6">
                  <c:v>117</c:v>
                </c:pt>
              </c:numCache>
            </c:numRef>
          </c:val>
        </c:ser>
        <c:ser>
          <c:idx val="6"/>
          <c:order val="6"/>
          <c:tx>
            <c:strRef>
              <c:f>Sheet1!$B$70</c:f>
              <c:strCache>
                <c:ptCount val="1"/>
                <c:pt idx="0">
                  <c:v>Protocol (TS)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Sheet1!$C$70:$I$70</c:f>
              <c:numCache>
                <c:formatCode>0.00</c:formatCode>
                <c:ptCount val="7"/>
                <c:pt idx="0">
                  <c:v>583.84933333333333</c:v>
                </c:pt>
                <c:pt idx="1">
                  <c:v>583.84933333333333</c:v>
                </c:pt>
                <c:pt idx="2">
                  <c:v>583.84933333333333</c:v>
                </c:pt>
                <c:pt idx="3">
                  <c:v>583.84933333333333</c:v>
                </c:pt>
                <c:pt idx="4">
                  <c:v>1697.7505773195876</c:v>
                </c:pt>
                <c:pt idx="5">
                  <c:v>1267.9329473684211</c:v>
                </c:pt>
                <c:pt idx="6">
                  <c:v>469.05200000000002</c:v>
                </c:pt>
              </c:numCache>
            </c:numRef>
          </c:val>
        </c:ser>
        <c:ser>
          <c:idx val="7"/>
          <c:order val="7"/>
          <c:tx>
            <c:strRef>
              <c:f>Sheet1!$B$71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Sheet1!$C$71:$I$71</c:f>
              <c:numCache>
                <c:formatCode>0.00</c:formatCode>
                <c:ptCount val="7"/>
                <c:pt idx="0">
                  <c:v>24</c:v>
                </c:pt>
                <c:pt idx="1">
                  <c:v>106.66666666666667</c:v>
                </c:pt>
                <c:pt idx="2">
                  <c:v>24</c:v>
                </c:pt>
                <c:pt idx="3">
                  <c:v>24</c:v>
                </c:pt>
                <c:pt idx="4">
                  <c:v>30</c:v>
                </c:pt>
                <c:pt idx="5">
                  <c:v>14</c:v>
                </c:pt>
                <c:pt idx="6">
                  <c:v>16</c:v>
                </c:pt>
              </c:numCache>
            </c:numRef>
          </c:val>
        </c:ser>
        <c:ser>
          <c:idx val="8"/>
          <c:order val="8"/>
          <c:tx>
            <c:strRef>
              <c:f>Sheet1!$B$72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Sheet1!$C$72:$I$72</c:f>
              <c:numCache>
                <c:formatCode>0.00</c:formatCode>
                <c:ptCount val="7"/>
                <c:pt idx="0">
                  <c:v>165.75</c:v>
                </c:pt>
                <c:pt idx="1">
                  <c:v>642.90857142857158</c:v>
                </c:pt>
                <c:pt idx="2">
                  <c:v>1329.1513043478262</c:v>
                </c:pt>
                <c:pt idx="3">
                  <c:v>185.25</c:v>
                </c:pt>
                <c:pt idx="4">
                  <c:v>226.15384615384613</c:v>
                </c:pt>
                <c:pt idx="5">
                  <c:v>86.333333333333343</c:v>
                </c:pt>
                <c:pt idx="6">
                  <c:v>139.42857142857142</c:v>
                </c:pt>
              </c:numCache>
            </c:numRef>
          </c:val>
        </c:ser>
        <c:ser>
          <c:idx val="9"/>
          <c:order val="9"/>
          <c:tx>
            <c:strRef>
              <c:f>Sheet1!$B$73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Sheet1!$C$73:$I$73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703.35800000000006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Sheet1!$B$64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Sheet1!$C$62:$I$62</c:f>
              <c:strCache>
                <c:ptCount val="7"/>
                <c:pt idx="0">
                  <c:v>CORBA-NS</c:v>
                </c:pt>
                <c:pt idx="1">
                  <c:v>JavaSpaces</c:v>
                </c:pt>
                <c:pt idx="2">
                  <c:v>BFS</c:v>
                </c:pt>
                <c:pt idx="3">
                  <c:v>Siena</c:v>
                </c:pt>
                <c:pt idx="4">
                  <c:v>YANCEES(Client+Server)</c:v>
                </c:pt>
                <c:pt idx="5">
                  <c:v>YANCEES(Server)</c:v>
                </c:pt>
                <c:pt idx="6">
                  <c:v>YANCEES(Client)</c:v>
                </c:pt>
              </c:strCache>
            </c:strRef>
          </c:cat>
          <c:val>
            <c:numRef>
              <c:f>Sheet1!$C$64:$I$64</c:f>
              <c:numCache>
                <c:formatCode>0.00</c:formatCode>
                <c:ptCount val="7"/>
                <c:pt idx="0">
                  <c:v>1632.1742168674698</c:v>
                </c:pt>
                <c:pt idx="1">
                  <c:v>985.86024691358034</c:v>
                </c:pt>
                <c:pt idx="2">
                  <c:v>1148.1693827160493</c:v>
                </c:pt>
                <c:pt idx="3">
                  <c:v>1176.5919999999999</c:v>
                </c:pt>
                <c:pt idx="4">
                  <c:v>215.44967741935486</c:v>
                </c:pt>
                <c:pt idx="5">
                  <c:v>0</c:v>
                </c:pt>
                <c:pt idx="6">
                  <c:v>215.44967741935486</c:v>
                </c:pt>
              </c:numCache>
            </c:numRef>
          </c:val>
        </c:ser>
        <c:gapWidth val="55"/>
        <c:overlap val="100"/>
        <c:axId val="65673472"/>
        <c:axId val="65683456"/>
      </c:barChart>
      <c:catAx>
        <c:axId val="65673472"/>
        <c:scaling>
          <c:orientation val="minMax"/>
        </c:scaling>
        <c:axPos val="l"/>
        <c:majorTickMark val="none"/>
        <c:tickLblPos val="nextTo"/>
        <c:crossAx val="65683456"/>
        <c:crosses val="autoZero"/>
        <c:auto val="1"/>
        <c:lblAlgn val="ctr"/>
        <c:lblOffset val="100"/>
      </c:catAx>
      <c:valAx>
        <c:axId val="65683456"/>
        <c:scaling>
          <c:orientation val="minMax"/>
        </c:scaling>
        <c:axPos val="b"/>
        <c:majorGridlines/>
        <c:numFmt formatCode="0" sourceLinked="0"/>
        <c:majorTickMark val="none"/>
        <c:tickLblPos val="nextTo"/>
        <c:crossAx val="65673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25</xdr:row>
      <xdr:rowOff>45720</xdr:rowOff>
    </xdr:from>
    <xdr:to>
      <xdr:col>8</xdr:col>
      <xdr:colOff>548640</xdr:colOff>
      <xdr:row>41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</xdr:colOff>
      <xdr:row>25</xdr:row>
      <xdr:rowOff>38100</xdr:rowOff>
    </xdr:from>
    <xdr:to>
      <xdr:col>15</xdr:col>
      <xdr:colOff>518160</xdr:colOff>
      <xdr:row>41</xdr:row>
      <xdr:rowOff>53340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68580</xdr:colOff>
      <xdr:row>25</xdr:row>
      <xdr:rowOff>49530</xdr:rowOff>
    </xdr:from>
    <xdr:to>
      <xdr:col>22</xdr:col>
      <xdr:colOff>525780</xdr:colOff>
      <xdr:row>41</xdr:row>
      <xdr:rowOff>64770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163830</xdr:colOff>
      <xdr:row>25</xdr:row>
      <xdr:rowOff>59055</xdr:rowOff>
    </xdr:from>
    <xdr:to>
      <xdr:col>30</xdr:col>
      <xdr:colOff>11430</xdr:colOff>
      <xdr:row>41</xdr:row>
      <xdr:rowOff>74295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125730</xdr:colOff>
      <xdr:row>25</xdr:row>
      <xdr:rowOff>59055</xdr:rowOff>
    </xdr:from>
    <xdr:to>
      <xdr:col>36</xdr:col>
      <xdr:colOff>582930</xdr:colOff>
      <xdr:row>41</xdr:row>
      <xdr:rowOff>74295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135255</xdr:colOff>
      <xdr:row>25</xdr:row>
      <xdr:rowOff>68580</xdr:rowOff>
    </xdr:from>
    <xdr:to>
      <xdr:col>43</xdr:col>
      <xdr:colOff>592455</xdr:colOff>
      <xdr:row>41</xdr:row>
      <xdr:rowOff>83820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116205</xdr:colOff>
      <xdr:row>25</xdr:row>
      <xdr:rowOff>40005</xdr:rowOff>
    </xdr:from>
    <xdr:to>
      <xdr:col>50</xdr:col>
      <xdr:colOff>573405</xdr:colOff>
      <xdr:row>41</xdr:row>
      <xdr:rowOff>55245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114300</xdr:colOff>
      <xdr:row>75</xdr:row>
      <xdr:rowOff>66675</xdr:rowOff>
    </xdr:from>
    <xdr:to>
      <xdr:col>21</xdr:col>
      <xdr:colOff>85725</xdr:colOff>
      <xdr:row>94</xdr:row>
      <xdr:rowOff>9525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419100</xdr:colOff>
      <xdr:row>96</xdr:row>
      <xdr:rowOff>123823</xdr:rowOff>
    </xdr:from>
    <xdr:to>
      <xdr:col>11</xdr:col>
      <xdr:colOff>0</xdr:colOff>
      <xdr:row>114</xdr:row>
      <xdr:rowOff>142874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104775</xdr:colOff>
      <xdr:row>96</xdr:row>
      <xdr:rowOff>142875</xdr:rowOff>
    </xdr:from>
    <xdr:to>
      <xdr:col>21</xdr:col>
      <xdr:colOff>504824</xdr:colOff>
      <xdr:row>115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87"/>
  <sheetViews>
    <sheetView tabSelected="1" topLeftCell="A66" zoomScale="80" zoomScaleNormal="80" workbookViewId="0">
      <selection activeCell="B95" sqref="B95"/>
    </sheetView>
  </sheetViews>
  <sheetFormatPr defaultRowHeight="14.4"/>
  <cols>
    <col min="1" max="1" width="11.5546875" customWidth="1"/>
    <col min="2" max="2" width="17.77734375" customWidth="1"/>
  </cols>
  <sheetData>
    <row r="1" spans="1:51" ht="21">
      <c r="B1" s="2" t="s">
        <v>41</v>
      </c>
      <c r="C1" s="2"/>
      <c r="D1" s="2"/>
      <c r="E1" s="2"/>
      <c r="F1" s="2"/>
      <c r="G1" s="2"/>
    </row>
    <row r="4" spans="1:51">
      <c r="B4" t="s">
        <v>20</v>
      </c>
    </row>
    <row r="6" spans="1:51">
      <c r="A6" s="1" t="s">
        <v>73</v>
      </c>
      <c r="B6" s="1" t="s">
        <v>15</v>
      </c>
      <c r="C6" s="42" t="s">
        <v>14</v>
      </c>
      <c r="D6" s="43"/>
      <c r="E6" s="43"/>
      <c r="F6" s="43"/>
      <c r="G6" s="43"/>
      <c r="H6" s="43"/>
      <c r="I6" s="44"/>
      <c r="J6" s="42" t="s">
        <v>19</v>
      </c>
      <c r="K6" s="43"/>
      <c r="L6" s="43"/>
      <c r="M6" s="43"/>
      <c r="N6" s="43"/>
      <c r="O6" s="43"/>
      <c r="P6" s="44"/>
      <c r="Q6" s="42" t="s">
        <v>22</v>
      </c>
      <c r="R6" s="43"/>
      <c r="S6" s="43"/>
      <c r="T6" s="43"/>
      <c r="U6" s="43"/>
      <c r="V6" s="43"/>
      <c r="W6" s="44"/>
      <c r="X6" s="42" t="s">
        <v>23</v>
      </c>
      <c r="Y6" s="43"/>
      <c r="Z6" s="43"/>
      <c r="AA6" s="43"/>
      <c r="AB6" s="43"/>
      <c r="AC6" s="43"/>
      <c r="AD6" s="44"/>
      <c r="AE6" s="42" t="s">
        <v>25</v>
      </c>
      <c r="AF6" s="43"/>
      <c r="AG6" s="43"/>
      <c r="AH6" s="43"/>
      <c r="AI6" s="43"/>
      <c r="AJ6" s="43"/>
      <c r="AK6" s="44"/>
      <c r="AL6" s="42" t="s">
        <v>26</v>
      </c>
      <c r="AM6" s="43"/>
      <c r="AN6" s="43"/>
      <c r="AO6" s="43"/>
      <c r="AP6" s="43"/>
      <c r="AQ6" s="43"/>
      <c r="AR6" s="44"/>
      <c r="AS6" s="42" t="s">
        <v>40</v>
      </c>
      <c r="AT6" s="43"/>
      <c r="AU6" s="43"/>
      <c r="AV6" s="43"/>
      <c r="AW6" s="43"/>
      <c r="AX6" s="43"/>
      <c r="AY6" s="44"/>
    </row>
    <row r="7" spans="1:51">
      <c r="B7" s="1" t="s">
        <v>0</v>
      </c>
      <c r="C7" s="12" t="s">
        <v>1</v>
      </c>
      <c r="D7" s="13" t="s">
        <v>2</v>
      </c>
      <c r="E7" s="13" t="s">
        <v>3</v>
      </c>
      <c r="F7" s="13" t="s">
        <v>16</v>
      </c>
      <c r="G7" s="13" t="s">
        <v>4</v>
      </c>
      <c r="H7" s="13" t="s">
        <v>17</v>
      </c>
      <c r="I7" s="14" t="s">
        <v>50</v>
      </c>
      <c r="J7" s="12" t="s">
        <v>1</v>
      </c>
      <c r="K7" s="13" t="s">
        <v>2</v>
      </c>
      <c r="L7" s="13" t="s">
        <v>3</v>
      </c>
      <c r="M7" s="13" t="s">
        <v>16</v>
      </c>
      <c r="N7" s="13" t="s">
        <v>4</v>
      </c>
      <c r="O7" s="13" t="s">
        <v>17</v>
      </c>
      <c r="P7" s="14" t="s">
        <v>50</v>
      </c>
      <c r="Q7" s="12" t="s">
        <v>1</v>
      </c>
      <c r="R7" s="13" t="s">
        <v>2</v>
      </c>
      <c r="S7" s="13" t="s">
        <v>3</v>
      </c>
      <c r="T7" s="13" t="s">
        <v>16</v>
      </c>
      <c r="U7" s="13" t="s">
        <v>4</v>
      </c>
      <c r="V7" s="13" t="s">
        <v>17</v>
      </c>
      <c r="W7" s="14" t="s">
        <v>50</v>
      </c>
      <c r="X7" s="12" t="s">
        <v>1</v>
      </c>
      <c r="Y7" s="13" t="s">
        <v>2</v>
      </c>
      <c r="Z7" s="13" t="s">
        <v>3</v>
      </c>
      <c r="AA7" s="13" t="s">
        <v>16</v>
      </c>
      <c r="AB7" s="13" t="s">
        <v>4</v>
      </c>
      <c r="AC7" s="13" t="s">
        <v>17</v>
      </c>
      <c r="AD7" s="14" t="s">
        <v>50</v>
      </c>
      <c r="AE7" s="12" t="s">
        <v>1</v>
      </c>
      <c r="AF7" s="13" t="s">
        <v>2</v>
      </c>
      <c r="AG7" s="13" t="s">
        <v>3</v>
      </c>
      <c r="AH7" s="13" t="s">
        <v>16</v>
      </c>
      <c r="AI7" s="13" t="s">
        <v>4</v>
      </c>
      <c r="AJ7" s="13" t="s">
        <v>17</v>
      </c>
      <c r="AK7" s="14" t="s">
        <v>50</v>
      </c>
      <c r="AL7" s="12" t="s">
        <v>1</v>
      </c>
      <c r="AM7" s="13" t="s">
        <v>2</v>
      </c>
      <c r="AN7" s="13" t="s">
        <v>3</v>
      </c>
      <c r="AO7" s="13" t="s">
        <v>16</v>
      </c>
      <c r="AP7" s="13" t="s">
        <v>4</v>
      </c>
      <c r="AQ7" s="13" t="s">
        <v>17</v>
      </c>
      <c r="AR7" s="14" t="s">
        <v>50</v>
      </c>
      <c r="AS7" s="12" t="s">
        <v>1</v>
      </c>
      <c r="AT7" s="13" t="s">
        <v>2</v>
      </c>
      <c r="AU7" s="13" t="s">
        <v>3</v>
      </c>
      <c r="AV7" s="13" t="s">
        <v>16</v>
      </c>
      <c r="AW7" s="13" t="s">
        <v>4</v>
      </c>
      <c r="AX7" s="13" t="s">
        <v>17</v>
      </c>
      <c r="AY7" s="14" t="s">
        <v>50</v>
      </c>
    </row>
    <row r="8" spans="1:51">
      <c r="B8" s="1" t="s">
        <v>48</v>
      </c>
      <c r="C8" s="27">
        <f>141+484+272+267+926+322+274</f>
        <v>2686</v>
      </c>
      <c r="D8" s="30">
        <f>(48*1.94+42*1.16+17*2.82+85*1.94+21*3+30*2.567)/G8</f>
        <v>2.0357613168724278</v>
      </c>
      <c r="E8" s="28">
        <f>6+4+2+9+3+3</f>
        <v>27</v>
      </c>
      <c r="F8" s="28">
        <v>18</v>
      </c>
      <c r="G8" s="28">
        <f>48+42+17+85+21+30</f>
        <v>243</v>
      </c>
      <c r="H8" s="28">
        <f>C8*D8</f>
        <v>5468.0548971193411</v>
      </c>
      <c r="I8" s="29"/>
      <c r="J8" s="27">
        <f>141+484+272+267+926+434+51</f>
        <v>2575</v>
      </c>
      <c r="K8" s="30">
        <f>(48*1.94+42*1.16+17*2.82+85*1.94+16*2.9+2*4)/N8</f>
        <v>1.948</v>
      </c>
      <c r="L8" s="28">
        <f>6+4+2+9+4+1</f>
        <v>26</v>
      </c>
      <c r="M8" s="28">
        <v>16</v>
      </c>
      <c r="N8" s="28">
        <f>48+42+17+85+16+2</f>
        <v>210</v>
      </c>
      <c r="O8" s="28">
        <f>J8*K8</f>
        <v>5016.0999999999995</v>
      </c>
      <c r="P8" s="29"/>
      <c r="Q8" s="27">
        <f>141+484+272+267+926+766+92</f>
        <v>2948</v>
      </c>
      <c r="R8" s="30">
        <f>(48*1.94+42*1.16+17*2.82+85*1.94+55*2.54+2*6.5)/U8</f>
        <v>2.0376706827309237</v>
      </c>
      <c r="S8" s="28">
        <f>6+4+2+9+7+1</f>
        <v>29</v>
      </c>
      <c r="T8" s="28">
        <v>16</v>
      </c>
      <c r="U8" s="28">
        <f>48+42+17+85+55+2</f>
        <v>249</v>
      </c>
      <c r="V8" s="28">
        <f>Q8*R8</f>
        <v>6007.0531726907629</v>
      </c>
      <c r="W8" s="29"/>
      <c r="X8" s="27">
        <f>141+484+272+926+857+25</f>
        <v>2705</v>
      </c>
      <c r="Y8" s="30">
        <f>(48*1.94+42*1.16+85*1.94+65*2.93+3*1.33)/AB8</f>
        <v>2.0624691358024694</v>
      </c>
      <c r="Z8" s="28">
        <f>1+6+4+9+8+1</f>
        <v>29</v>
      </c>
      <c r="AA8" s="28">
        <v>15</v>
      </c>
      <c r="AB8" s="28">
        <f>48+42+85+65+3</f>
        <v>243</v>
      </c>
      <c r="AC8" s="28">
        <f>X8*Y8</f>
        <v>5578.9790123456796</v>
      </c>
      <c r="AD8" s="29"/>
      <c r="AE8" s="27">
        <f>141+623+68</f>
        <v>832</v>
      </c>
      <c r="AF8" s="30">
        <f>(58*1.98+4*2.5)/AI8</f>
        <v>2.0135483870967743</v>
      </c>
      <c r="AG8" s="28">
        <f>8+1</f>
        <v>9</v>
      </c>
      <c r="AH8" s="28">
        <v>11</v>
      </c>
      <c r="AI8" s="28">
        <v>62</v>
      </c>
      <c r="AJ8" s="28">
        <f>AE8*AF8</f>
        <v>1675.2722580645163</v>
      </c>
      <c r="AK8" s="29"/>
      <c r="AL8" s="27">
        <f>379+132+245+27+364</f>
        <v>1147</v>
      </c>
      <c r="AM8" s="28">
        <v>1.66</v>
      </c>
      <c r="AN8" s="28">
        <v>18</v>
      </c>
      <c r="AO8" s="28">
        <v>3</v>
      </c>
      <c r="AP8" s="28">
        <v>104</v>
      </c>
      <c r="AQ8" s="28">
        <f>AL8*AM8</f>
        <v>1904.02</v>
      </c>
      <c r="AR8" s="29"/>
      <c r="AS8" s="27">
        <f>AL8+AE8</f>
        <v>1979</v>
      </c>
      <c r="AT8" s="31">
        <f>AVERAGE(AM8,AF8)</f>
        <v>1.8367741935483872</v>
      </c>
      <c r="AU8" s="28">
        <f>AN8+AG8</f>
        <v>27</v>
      </c>
      <c r="AV8" s="28">
        <f>AO8+AH8</f>
        <v>14</v>
      </c>
      <c r="AW8" s="28">
        <f>AP8+AI8</f>
        <v>166</v>
      </c>
      <c r="AX8" s="28">
        <f>AS8*AT8</f>
        <v>3634.9761290322585</v>
      </c>
      <c r="AY8" s="29"/>
    </row>
    <row r="9" spans="1:51">
      <c r="B9" s="1"/>
      <c r="C9" s="27"/>
      <c r="D9" s="30"/>
      <c r="E9" s="28"/>
      <c r="F9" s="28"/>
      <c r="G9" s="28"/>
      <c r="H9" s="28"/>
      <c r="I9" s="29"/>
      <c r="J9" s="27"/>
      <c r="K9" s="28"/>
      <c r="L9" s="28"/>
      <c r="M9" s="28"/>
      <c r="N9" s="28"/>
      <c r="O9" s="28"/>
      <c r="P9" s="29"/>
      <c r="Q9" s="27"/>
      <c r="R9" s="28"/>
      <c r="S9" s="28"/>
      <c r="T9" s="28"/>
      <c r="U9" s="28"/>
      <c r="V9" s="28"/>
      <c r="W9" s="29"/>
      <c r="X9" s="27"/>
      <c r="Y9" s="28"/>
      <c r="Z9" s="28"/>
      <c r="AA9" s="28"/>
      <c r="AB9" s="28"/>
      <c r="AC9" s="28"/>
      <c r="AD9" s="29"/>
      <c r="AE9" s="27"/>
      <c r="AF9" s="28"/>
      <c r="AG9" s="28"/>
      <c r="AH9" s="28"/>
      <c r="AI9" s="28"/>
      <c r="AJ9" s="28"/>
      <c r="AK9" s="29"/>
      <c r="AL9" s="27"/>
      <c r="AM9" s="28"/>
      <c r="AN9" s="28"/>
      <c r="AO9" s="28"/>
      <c r="AP9" s="28"/>
      <c r="AQ9" s="28"/>
      <c r="AR9" s="29"/>
      <c r="AS9" s="27"/>
      <c r="AT9" s="28"/>
      <c r="AU9" s="28"/>
      <c r="AV9" s="28"/>
      <c r="AW9" s="28"/>
      <c r="AX9" s="28"/>
      <c r="AY9" s="29"/>
    </row>
    <row r="10" spans="1:51">
      <c r="A10" t="s">
        <v>5</v>
      </c>
      <c r="B10" s="3" t="s">
        <v>5</v>
      </c>
      <c r="C10" s="4">
        <v>0</v>
      </c>
      <c r="D10" s="5">
        <v>0</v>
      </c>
      <c r="E10" s="6">
        <v>0</v>
      </c>
      <c r="F10" s="21">
        <v>0</v>
      </c>
      <c r="G10" s="21">
        <v>0</v>
      </c>
      <c r="H10" s="5">
        <f>C10*D10</f>
        <v>0</v>
      </c>
      <c r="I10" s="7">
        <f t="shared" ref="I10:I20" si="0">H10/$H$22</f>
        <v>0</v>
      </c>
      <c r="J10" s="4">
        <f>117+41+197</f>
        <v>355</v>
      </c>
      <c r="K10" s="6">
        <f>(12*2.6+2*1+7*6)/N10</f>
        <v>3.008</v>
      </c>
      <c r="L10" s="6">
        <v>3</v>
      </c>
      <c r="M10" s="6">
        <v>0</v>
      </c>
      <c r="N10" s="6">
        <v>25</v>
      </c>
      <c r="O10" s="16">
        <f t="shared" ref="O10:O19" si="1">J10*K10</f>
        <v>1067.8399999999999</v>
      </c>
      <c r="P10" s="7">
        <f t="shared" ref="P10:P20" si="2">O10/$O$22</f>
        <v>0.19071486641529492</v>
      </c>
      <c r="Q10" s="4">
        <f>104+216+177</f>
        <v>497</v>
      </c>
      <c r="R10" s="5">
        <f>(2*8+8*5.8+12*2.6)/U10</f>
        <v>4.254545454545454</v>
      </c>
      <c r="S10" s="6">
        <v>3</v>
      </c>
      <c r="T10" s="6">
        <v>0</v>
      </c>
      <c r="U10" s="6">
        <v>22</v>
      </c>
      <c r="V10" s="16">
        <f t="shared" ref="V10:V19" si="3">Q10*R10</f>
        <v>2114.5090909090904</v>
      </c>
      <c r="W10" s="7">
        <f>V10/$V$22</f>
        <v>0.28341224527103576</v>
      </c>
      <c r="X10" s="4">
        <f>177+183+31</f>
        <v>391</v>
      </c>
      <c r="Y10" s="5">
        <f>(3*1.33+7*5.85+2*1)/AB10</f>
        <v>3.9116666666666666</v>
      </c>
      <c r="Z10" s="6">
        <v>3</v>
      </c>
      <c r="AA10" s="6">
        <v>0</v>
      </c>
      <c r="AB10" s="6">
        <v>12</v>
      </c>
      <c r="AC10" s="16">
        <f t="shared" ref="AC10:AC19" si="4">X10*Y10</f>
        <v>1529.4616666666666</v>
      </c>
      <c r="AD10" s="7">
        <f>AC10/$AC$22</f>
        <v>0.23480342013692265</v>
      </c>
      <c r="AE10" s="4">
        <f>80+37</f>
        <v>117</v>
      </c>
      <c r="AF10" s="5">
        <f>(2*3+5*1.2)/AI10</f>
        <v>1.7142857142857142</v>
      </c>
      <c r="AG10" s="6">
        <v>2</v>
      </c>
      <c r="AH10" s="6">
        <v>0</v>
      </c>
      <c r="AI10" s="6">
        <v>7</v>
      </c>
      <c r="AJ10" s="16">
        <f t="shared" ref="AJ10:AJ19" si="5">AE10*AF10</f>
        <v>200.57142857142856</v>
      </c>
      <c r="AK10" s="7">
        <f>AJ10/$AJ$22</f>
        <v>0.13287185610333332</v>
      </c>
      <c r="AL10" s="4">
        <v>265</v>
      </c>
      <c r="AM10" s="5">
        <v>2.94</v>
      </c>
      <c r="AN10" s="6">
        <v>1</v>
      </c>
      <c r="AO10" s="6">
        <v>0</v>
      </c>
      <c r="AP10" s="21">
        <v>19</v>
      </c>
      <c r="AQ10" s="16">
        <f>AL10*AM10</f>
        <v>779.1</v>
      </c>
      <c r="AR10" s="7">
        <f>AQ10/$AQ$22</f>
        <v>0.28335721553934345</v>
      </c>
      <c r="AS10" s="4">
        <f>AL10+AE10</f>
        <v>382</v>
      </c>
      <c r="AT10" s="5">
        <f>IF((AP10+AI10 = 0), 0, (AF10*AI10+AM10*AP10)/(AP10+AI10))</f>
        <v>2.61</v>
      </c>
      <c r="AU10" s="6">
        <f>AN10+AG10</f>
        <v>3</v>
      </c>
      <c r="AV10" s="6">
        <f>AO10+AH10</f>
        <v>0</v>
      </c>
      <c r="AW10" s="6">
        <f>AP10+AI10</f>
        <v>26</v>
      </c>
      <c r="AX10" s="16">
        <f>AS10*AT10</f>
        <v>997.02</v>
      </c>
      <c r="AY10" s="7">
        <f>AX10/AX$22</f>
        <v>0.23609496754676498</v>
      </c>
    </row>
    <row r="11" spans="1:51">
      <c r="A11" t="s">
        <v>74</v>
      </c>
      <c r="B11" t="s">
        <v>21</v>
      </c>
      <c r="C11" s="4">
        <v>31</v>
      </c>
      <c r="D11" s="5">
        <v>3.5</v>
      </c>
      <c r="E11" s="6">
        <v>1</v>
      </c>
      <c r="F11" s="21">
        <v>0</v>
      </c>
      <c r="G11" s="21">
        <v>2</v>
      </c>
      <c r="H11" s="5">
        <f t="shared" ref="H11:H17" si="6">C11*D11</f>
        <v>108.5</v>
      </c>
      <c r="I11" s="7">
        <f t="shared" si="0"/>
        <v>1.7505316879900777E-2</v>
      </c>
      <c r="J11" s="4">
        <f>31+(5+6+4)+51</f>
        <v>97</v>
      </c>
      <c r="K11" s="21">
        <f>(2*3.5+3*2+2*4)/N11</f>
        <v>3</v>
      </c>
      <c r="L11" s="21">
        <v>3</v>
      </c>
      <c r="M11" s="21">
        <v>0</v>
      </c>
      <c r="N11" s="21">
        <v>7</v>
      </c>
      <c r="O11" s="16">
        <f t="shared" si="1"/>
        <v>291</v>
      </c>
      <c r="P11" s="7">
        <f t="shared" si="2"/>
        <v>5.1972230040877684E-2</v>
      </c>
      <c r="Q11" s="4">
        <f>31+5+92</f>
        <v>128</v>
      </c>
      <c r="R11" s="25">
        <f>(2*3.5+5+2*6.5)/U11</f>
        <v>5</v>
      </c>
      <c r="S11" s="21">
        <v>3</v>
      </c>
      <c r="T11" s="21">
        <v>0</v>
      </c>
      <c r="U11" s="21">
        <v>5</v>
      </c>
      <c r="V11" s="16">
        <f t="shared" si="3"/>
        <v>640</v>
      </c>
      <c r="W11" s="7">
        <f t="shared" ref="W11:W20" si="7">V11/$V$22</f>
        <v>8.5780589808427149E-2</v>
      </c>
      <c r="X11" s="4">
        <f>31+(7)+25</f>
        <v>63</v>
      </c>
      <c r="Y11" s="21">
        <f>(2*3.5+1*2+3*1.33)/AB11</f>
        <v>2.165</v>
      </c>
      <c r="Z11" s="21">
        <v>3</v>
      </c>
      <c r="AA11" s="21">
        <v>0</v>
      </c>
      <c r="AB11" s="21">
        <v>6</v>
      </c>
      <c r="AC11" s="16">
        <f t="shared" si="4"/>
        <v>136.39500000000001</v>
      </c>
      <c r="AD11" s="7">
        <f t="shared" ref="AD11:AD20" si="8">AC11/$AC$22</f>
        <v>2.0939401874238258E-2</v>
      </c>
      <c r="AE11" s="4">
        <f>31+19+13+13</f>
        <v>76</v>
      </c>
      <c r="AF11" s="25">
        <f>(2*3.5+3+2+1+2+3)/AI11</f>
        <v>2.5714285714285716</v>
      </c>
      <c r="AG11" s="21">
        <v>3</v>
      </c>
      <c r="AH11" s="21">
        <v>0</v>
      </c>
      <c r="AI11" s="21">
        <v>7</v>
      </c>
      <c r="AJ11" s="16">
        <f t="shared" si="5"/>
        <v>195.42857142857144</v>
      </c>
      <c r="AK11" s="7">
        <f t="shared" ref="AK11:AK20" si="9">AJ11/$AJ$22</f>
        <v>0.12946488543401713</v>
      </c>
      <c r="AL11" s="4">
        <f>31+19+13</f>
        <v>63</v>
      </c>
      <c r="AM11" s="21">
        <f>(2*3.5+1*3+1*2)/4</f>
        <v>3</v>
      </c>
      <c r="AN11" s="21">
        <v>3</v>
      </c>
      <c r="AO11" s="21">
        <v>0</v>
      </c>
      <c r="AP11" s="21">
        <v>4</v>
      </c>
      <c r="AQ11" s="16">
        <f>AL11*AM11</f>
        <v>189</v>
      </c>
      <c r="AR11" s="7">
        <f t="shared" ref="AR11:AR20" si="10">AQ11/$AQ$22</f>
        <v>6.8738947165878472E-2</v>
      </c>
      <c r="AS11" s="4">
        <f t="shared" ref="AS11:AS19" si="11">AL11+AE11</f>
        <v>139</v>
      </c>
      <c r="AT11" s="5">
        <f t="shared" ref="AT11:AT19" si="12">IF((AP11+AI11 = 0), 0, (AF11*AI11+AM11*AP11)/(AP11+AI11))</f>
        <v>2.7272727272727271</v>
      </c>
      <c r="AU11" s="6">
        <f t="shared" ref="AU11:AW19" si="13">AN11+AG11</f>
        <v>6</v>
      </c>
      <c r="AV11" s="6">
        <f t="shared" si="13"/>
        <v>0</v>
      </c>
      <c r="AW11" s="6">
        <f t="shared" si="13"/>
        <v>11</v>
      </c>
      <c r="AX11" s="16">
        <f>AS11*AT11</f>
        <v>379.09090909090907</v>
      </c>
      <c r="AY11" s="7">
        <f t="shared" ref="AY11:AY19" si="14">AX11/AX$22</f>
        <v>8.9768967401949618E-2</v>
      </c>
    </row>
    <row r="12" spans="1:51">
      <c r="A12" t="s">
        <v>74</v>
      </c>
      <c r="B12" s="1" t="s">
        <v>49</v>
      </c>
      <c r="C12" s="18">
        <v>926</v>
      </c>
      <c r="D12" s="19">
        <v>1.9410000000000001</v>
      </c>
      <c r="E12" s="20">
        <v>9</v>
      </c>
      <c r="F12" s="20">
        <v>4</v>
      </c>
      <c r="G12" s="20">
        <v>83</v>
      </c>
      <c r="H12" s="19">
        <f t="shared" si="6"/>
        <v>1797.366</v>
      </c>
      <c r="I12" s="17">
        <f t="shared" si="0"/>
        <v>0.28998581916276256</v>
      </c>
      <c r="J12" s="18">
        <f>C12</f>
        <v>926</v>
      </c>
      <c r="K12" s="19">
        <v>1.9410000000000001</v>
      </c>
      <c r="L12" s="20">
        <v>9</v>
      </c>
      <c r="M12" s="20">
        <v>4</v>
      </c>
      <c r="N12" s="20">
        <v>83</v>
      </c>
      <c r="O12" s="19">
        <f t="shared" si="1"/>
        <v>1797.366</v>
      </c>
      <c r="P12" s="7">
        <f t="shared" si="2"/>
        <v>0.32100728254175998</v>
      </c>
      <c r="Q12" s="18">
        <f>C12</f>
        <v>926</v>
      </c>
      <c r="R12" s="19">
        <v>1.9410000000000001</v>
      </c>
      <c r="S12" s="20">
        <v>9</v>
      </c>
      <c r="T12" s="20">
        <v>4</v>
      </c>
      <c r="U12" s="20">
        <v>83</v>
      </c>
      <c r="V12" s="19">
        <f t="shared" si="3"/>
        <v>1797.366</v>
      </c>
      <c r="W12" s="7">
        <f t="shared" si="7"/>
        <v>0.24090486809627104</v>
      </c>
      <c r="X12" s="18">
        <f>C12</f>
        <v>926</v>
      </c>
      <c r="Y12" s="19">
        <v>1.9410000000000001</v>
      </c>
      <c r="Z12" s="20">
        <v>9</v>
      </c>
      <c r="AA12" s="20">
        <v>4</v>
      </c>
      <c r="AB12" s="20">
        <v>83</v>
      </c>
      <c r="AC12" s="19">
        <f t="shared" si="4"/>
        <v>1797.366</v>
      </c>
      <c r="AD12" s="7">
        <f t="shared" si="8"/>
        <v>0.27593217485312599</v>
      </c>
      <c r="AE12" s="22">
        <v>0</v>
      </c>
      <c r="AF12" s="16">
        <v>0</v>
      </c>
      <c r="AG12" s="23">
        <v>0</v>
      </c>
      <c r="AH12" s="23">
        <v>0</v>
      </c>
      <c r="AI12" s="24">
        <v>0</v>
      </c>
      <c r="AJ12" s="16">
        <f>AE12*AF12</f>
        <v>0</v>
      </c>
      <c r="AK12" s="7">
        <f t="shared" si="9"/>
        <v>0</v>
      </c>
      <c r="AL12" s="22">
        <v>0</v>
      </c>
      <c r="AM12" s="16">
        <v>0</v>
      </c>
      <c r="AN12" s="23">
        <v>0</v>
      </c>
      <c r="AO12" s="23">
        <v>0</v>
      </c>
      <c r="AP12" s="24">
        <v>0</v>
      </c>
      <c r="AQ12" s="16">
        <f>AL12*AM12</f>
        <v>0</v>
      </c>
      <c r="AR12" s="7">
        <f t="shared" si="10"/>
        <v>0</v>
      </c>
      <c r="AS12" s="4">
        <f t="shared" si="11"/>
        <v>0</v>
      </c>
      <c r="AT12" s="5">
        <f t="shared" si="12"/>
        <v>0</v>
      </c>
      <c r="AU12" s="6">
        <f t="shared" si="13"/>
        <v>0</v>
      </c>
      <c r="AV12" s="6">
        <f t="shared" si="13"/>
        <v>0</v>
      </c>
      <c r="AW12" s="6">
        <f t="shared" si="13"/>
        <v>0</v>
      </c>
      <c r="AX12" s="16">
        <f>AS12*AT12</f>
        <v>0</v>
      </c>
      <c r="AY12" s="7">
        <f t="shared" si="14"/>
        <v>0</v>
      </c>
    </row>
    <row r="13" spans="1:51">
      <c r="A13" t="s">
        <v>5</v>
      </c>
      <c r="B13" s="1" t="s">
        <v>7</v>
      </c>
      <c r="C13" s="18">
        <v>2</v>
      </c>
      <c r="D13" s="19">
        <v>1</v>
      </c>
      <c r="E13" s="20">
        <v>3</v>
      </c>
      <c r="F13" s="20">
        <v>1</v>
      </c>
      <c r="G13" s="20">
        <v>2</v>
      </c>
      <c r="H13" s="19">
        <f t="shared" si="6"/>
        <v>2</v>
      </c>
      <c r="I13" s="17">
        <f t="shared" si="0"/>
        <v>3.2267865216406962E-4</v>
      </c>
      <c r="J13" s="18">
        <v>2</v>
      </c>
      <c r="K13" s="19">
        <v>1</v>
      </c>
      <c r="L13" s="20">
        <v>3</v>
      </c>
      <c r="M13" s="20">
        <v>1</v>
      </c>
      <c r="N13" s="20">
        <v>2</v>
      </c>
      <c r="O13" s="19">
        <f t="shared" si="1"/>
        <v>2</v>
      </c>
      <c r="P13" s="7">
        <f t="shared" si="2"/>
        <v>3.5719745732561983E-4</v>
      </c>
      <c r="Q13" s="18">
        <v>2</v>
      </c>
      <c r="R13" s="19">
        <v>1</v>
      </c>
      <c r="S13" s="20">
        <v>3</v>
      </c>
      <c r="T13" s="20">
        <v>1</v>
      </c>
      <c r="U13" s="20">
        <v>2</v>
      </c>
      <c r="V13" s="19">
        <f t="shared" si="3"/>
        <v>2</v>
      </c>
      <c r="W13" s="7">
        <f t="shared" si="7"/>
        <v>2.6806434315133486E-4</v>
      </c>
      <c r="X13" s="18">
        <v>2</v>
      </c>
      <c r="Y13" s="19">
        <v>1</v>
      </c>
      <c r="Z13" s="20">
        <v>3</v>
      </c>
      <c r="AA13" s="20">
        <v>1</v>
      </c>
      <c r="AB13" s="20">
        <v>2</v>
      </c>
      <c r="AC13" s="19">
        <f t="shared" si="4"/>
        <v>2</v>
      </c>
      <c r="AD13" s="7">
        <f t="shared" si="8"/>
        <v>3.0704060814895352E-4</v>
      </c>
      <c r="AE13" s="18">
        <v>2</v>
      </c>
      <c r="AF13" s="19">
        <v>1</v>
      </c>
      <c r="AG13" s="20">
        <v>3</v>
      </c>
      <c r="AH13" s="20">
        <v>1</v>
      </c>
      <c r="AI13" s="20">
        <v>2</v>
      </c>
      <c r="AJ13" s="16">
        <f t="shared" si="5"/>
        <v>2</v>
      </c>
      <c r="AK13" s="7">
        <f t="shared" si="9"/>
        <v>1.3249330380674265E-3</v>
      </c>
      <c r="AL13" s="22">
        <f>27+26+26</f>
        <v>79</v>
      </c>
      <c r="AM13" s="16">
        <f>AVERAGE(1,1.5,1)</f>
        <v>1.1666666666666667</v>
      </c>
      <c r="AN13" s="24">
        <v>3</v>
      </c>
      <c r="AO13" s="24">
        <v>0</v>
      </c>
      <c r="AP13" s="23">
        <f>4+2+4</f>
        <v>10</v>
      </c>
      <c r="AQ13" s="16">
        <f t="shared" ref="AQ13:AQ19" si="15">AL13*AM13</f>
        <v>92.166666666666671</v>
      </c>
      <c r="AR13" s="7">
        <f t="shared" si="10"/>
        <v>3.352084460558271E-2</v>
      </c>
      <c r="AS13" s="4">
        <f t="shared" si="11"/>
        <v>81</v>
      </c>
      <c r="AT13" s="5">
        <f t="shared" si="12"/>
        <v>1.1388888888888891</v>
      </c>
      <c r="AU13" s="6">
        <f t="shared" si="13"/>
        <v>6</v>
      </c>
      <c r="AV13" s="6">
        <f t="shared" si="13"/>
        <v>1</v>
      </c>
      <c r="AW13" s="6">
        <f t="shared" si="13"/>
        <v>12</v>
      </c>
      <c r="AX13" s="16">
        <f t="shared" ref="AX13:AX19" si="16">AS13*AT13</f>
        <v>92.250000000000014</v>
      </c>
      <c r="AY13" s="7">
        <f t="shared" si="14"/>
        <v>2.1844858434323357E-2</v>
      </c>
    </row>
    <row r="14" spans="1:51">
      <c r="A14" t="s">
        <v>75</v>
      </c>
      <c r="B14" s="1" t="s">
        <v>9</v>
      </c>
      <c r="C14" s="18">
        <v>118</v>
      </c>
      <c r="D14" s="19">
        <v>1.31</v>
      </c>
      <c r="E14" s="20">
        <v>1</v>
      </c>
      <c r="F14" s="20">
        <v>1</v>
      </c>
      <c r="G14" s="20">
        <v>16</v>
      </c>
      <c r="H14" s="19">
        <f t="shared" si="6"/>
        <v>154.58000000000001</v>
      </c>
      <c r="I14" s="17">
        <f t="shared" si="0"/>
        <v>2.493983302576094E-2</v>
      </c>
      <c r="J14" s="18">
        <v>118</v>
      </c>
      <c r="K14" s="19">
        <v>1.31</v>
      </c>
      <c r="L14" s="20">
        <v>1</v>
      </c>
      <c r="M14" s="20">
        <v>1</v>
      </c>
      <c r="N14" s="20">
        <v>16</v>
      </c>
      <c r="O14" s="19">
        <f t="shared" si="1"/>
        <v>154.58000000000001</v>
      </c>
      <c r="P14" s="7">
        <f t="shared" si="2"/>
        <v>2.7607791476697157E-2</v>
      </c>
      <c r="Q14" s="18">
        <v>118</v>
      </c>
      <c r="R14" s="19">
        <v>1.31</v>
      </c>
      <c r="S14" s="20">
        <v>1</v>
      </c>
      <c r="T14" s="20">
        <v>1</v>
      </c>
      <c r="U14" s="20">
        <v>16</v>
      </c>
      <c r="V14" s="19">
        <f t="shared" si="3"/>
        <v>154.58000000000001</v>
      </c>
      <c r="W14" s="7">
        <f t="shared" si="7"/>
        <v>2.0718693082166673E-2</v>
      </c>
      <c r="X14" s="22">
        <f>118+29+47</f>
        <v>194</v>
      </c>
      <c r="Y14" s="16">
        <f>(16*1.3+2*2)/AB14</f>
        <v>1.3777777777777778</v>
      </c>
      <c r="Z14" s="24">
        <v>2</v>
      </c>
      <c r="AA14" s="24">
        <v>1</v>
      </c>
      <c r="AB14" s="24">
        <v>18</v>
      </c>
      <c r="AC14" s="16">
        <f t="shared" si="4"/>
        <v>267.28888888888889</v>
      </c>
      <c r="AD14" s="7">
        <f t="shared" si="8"/>
        <v>4.1034271497951254E-2</v>
      </c>
      <c r="AE14" s="18">
        <v>118</v>
      </c>
      <c r="AF14" s="19">
        <v>1.31</v>
      </c>
      <c r="AG14" s="20">
        <v>1</v>
      </c>
      <c r="AH14" s="20">
        <v>1</v>
      </c>
      <c r="AI14" s="20">
        <v>16</v>
      </c>
      <c r="AJ14" s="16">
        <f t="shared" si="5"/>
        <v>154.58000000000001</v>
      </c>
      <c r="AK14" s="7">
        <f t="shared" si="9"/>
        <v>0.10240407451223141</v>
      </c>
      <c r="AL14" s="22">
        <v>0</v>
      </c>
      <c r="AM14" s="16">
        <v>0</v>
      </c>
      <c r="AN14" s="24">
        <v>0</v>
      </c>
      <c r="AO14" s="24">
        <v>0</v>
      </c>
      <c r="AP14" s="24">
        <v>0</v>
      </c>
      <c r="AQ14" s="16">
        <f t="shared" si="15"/>
        <v>0</v>
      </c>
      <c r="AR14" s="7">
        <f t="shared" si="10"/>
        <v>0</v>
      </c>
      <c r="AS14" s="4">
        <f t="shared" si="11"/>
        <v>118</v>
      </c>
      <c r="AT14" s="5">
        <f t="shared" si="12"/>
        <v>1.31</v>
      </c>
      <c r="AU14" s="6">
        <f t="shared" si="13"/>
        <v>1</v>
      </c>
      <c r="AV14" s="6">
        <f t="shared" si="13"/>
        <v>1</v>
      </c>
      <c r="AW14" s="6">
        <f t="shared" si="13"/>
        <v>16</v>
      </c>
      <c r="AX14" s="16">
        <f t="shared" si="16"/>
        <v>154.58000000000001</v>
      </c>
      <c r="AY14" s="7">
        <f t="shared" si="14"/>
        <v>3.6604641916289475E-2</v>
      </c>
    </row>
    <row r="15" spans="1:51">
      <c r="A15" t="s">
        <v>75</v>
      </c>
      <c r="B15" s="3" t="s">
        <v>10</v>
      </c>
      <c r="C15" s="22">
        <f>(10+12+12)+(16+18+21+1)</f>
        <v>90</v>
      </c>
      <c r="D15" s="16">
        <f>AVERAGE(3,3,3,6,5,6,1)</f>
        <v>3.8571428571428572</v>
      </c>
      <c r="E15" s="26">
        <v>3</v>
      </c>
      <c r="F15" s="26">
        <v>1</v>
      </c>
      <c r="G15" s="26">
        <v>7</v>
      </c>
      <c r="H15" s="16">
        <f t="shared" si="6"/>
        <v>347.14285714285717</v>
      </c>
      <c r="I15" s="17">
        <f t="shared" si="0"/>
        <v>5.6007794625620659E-2</v>
      </c>
      <c r="J15" s="22">
        <f>(10+12+12)+(16+18+21+1)+(2+3)</f>
        <v>95</v>
      </c>
      <c r="K15" s="16">
        <f>AVERAGE(3,3,3,6,5,6,1,1,2)</f>
        <v>3.3333333333333335</v>
      </c>
      <c r="L15" s="26">
        <v>4</v>
      </c>
      <c r="M15" s="26">
        <v>1</v>
      </c>
      <c r="N15" s="26">
        <v>9</v>
      </c>
      <c r="O15" s="16">
        <f t="shared" si="1"/>
        <v>316.66666666666669</v>
      </c>
      <c r="P15" s="7">
        <f t="shared" si="2"/>
        <v>5.6556264076556471E-2</v>
      </c>
      <c r="Q15" s="22">
        <f>(1+1+1)+(10+12+12)+(6)+(16+18+21+1)+(2+3)</f>
        <v>104</v>
      </c>
      <c r="R15" s="16">
        <f>(3*3+(6+5+6+1)+(1+2))/U15</f>
        <v>3.3333333333333335</v>
      </c>
      <c r="S15" s="26">
        <v>4</v>
      </c>
      <c r="T15" s="26">
        <v>1</v>
      </c>
      <c r="U15" s="26">
        <v>9</v>
      </c>
      <c r="V15" s="16">
        <f t="shared" si="3"/>
        <v>346.66666666666669</v>
      </c>
      <c r="W15" s="7">
        <f t="shared" si="7"/>
        <v>4.6464486146231374E-2</v>
      </c>
      <c r="X15" s="22">
        <f>13+27+23</f>
        <v>63</v>
      </c>
      <c r="Y15" s="16">
        <f>AVERAGE(3,10,9)</f>
        <v>7.333333333333333</v>
      </c>
      <c r="Z15" s="24">
        <v>3</v>
      </c>
      <c r="AA15" s="24">
        <v>0</v>
      </c>
      <c r="AB15" s="24">
        <v>3</v>
      </c>
      <c r="AC15" s="16">
        <f t="shared" si="4"/>
        <v>462</v>
      </c>
      <c r="AD15" s="7">
        <f t="shared" si="8"/>
        <v>7.0926380482408263E-2</v>
      </c>
      <c r="AE15" s="22">
        <f>1+1+5+15+15+(3+5)</f>
        <v>45</v>
      </c>
      <c r="AF15" s="16">
        <f>AVERAGE(2,4,4,1,2)</f>
        <v>2.6</v>
      </c>
      <c r="AG15" s="24">
        <v>2</v>
      </c>
      <c r="AH15" s="24">
        <v>1</v>
      </c>
      <c r="AI15" s="24">
        <v>5</v>
      </c>
      <c r="AJ15" s="16">
        <f t="shared" si="5"/>
        <v>117</v>
      </c>
      <c r="AK15" s="7">
        <f t="shared" si="9"/>
        <v>7.7508582726944455E-2</v>
      </c>
      <c r="AL15" s="22">
        <v>107</v>
      </c>
      <c r="AM15" s="16">
        <v>3</v>
      </c>
      <c r="AN15" s="24">
        <v>3</v>
      </c>
      <c r="AO15" s="24">
        <v>0</v>
      </c>
      <c r="AP15" s="24">
        <v>7</v>
      </c>
      <c r="AQ15" s="16">
        <f t="shared" si="15"/>
        <v>321</v>
      </c>
      <c r="AR15" s="7">
        <f t="shared" si="10"/>
        <v>0.11674710074204755</v>
      </c>
      <c r="AS15" s="4">
        <f t="shared" si="11"/>
        <v>152</v>
      </c>
      <c r="AT15" s="5">
        <f t="shared" si="12"/>
        <v>2.8333333333333335</v>
      </c>
      <c r="AU15" s="6">
        <f t="shared" si="13"/>
        <v>5</v>
      </c>
      <c r="AV15" s="6">
        <f t="shared" si="13"/>
        <v>1</v>
      </c>
      <c r="AW15" s="6">
        <f t="shared" si="13"/>
        <v>12</v>
      </c>
      <c r="AX15" s="16">
        <f t="shared" si="16"/>
        <v>430.66666666666669</v>
      </c>
      <c r="AY15" s="7">
        <f t="shared" si="14"/>
        <v>0.10198213946574806</v>
      </c>
    </row>
    <row r="16" spans="1:51">
      <c r="A16" t="s">
        <v>75</v>
      </c>
      <c r="B16" s="1" t="s">
        <v>24</v>
      </c>
      <c r="C16" s="18">
        <f>(1+1+14+7+6+6+6+9+13+7+9+1+1+6)+18+18+52+62+40+5+7+7+9+8</f>
        <v>313</v>
      </c>
      <c r="D16" s="19">
        <f>(AVERAGE(1,1,3,2,2,2,2,3,3,2,3,1,1,2)*14+1.1*10+10*1+6*1.16)/G16</f>
        <v>1.8653333333333333</v>
      </c>
      <c r="E16" s="20">
        <v>4</v>
      </c>
      <c r="F16" s="20">
        <v>5</v>
      </c>
      <c r="G16" s="20">
        <v>30</v>
      </c>
      <c r="H16" s="19">
        <f t="shared" si="6"/>
        <v>583.84933333333333</v>
      </c>
      <c r="I16" s="17">
        <f t="shared" si="0"/>
        <v>9.4197857973445293E-2</v>
      </c>
      <c r="J16" s="18">
        <f>(1+1+14+7+6+6+6+9+13+7+9+1+1+6)+18+18+52+62+40+5+7+7+9+8</f>
        <v>313</v>
      </c>
      <c r="K16" s="19">
        <f>(AVERAGE(1,1,3,2,2,2,2,3,3,2,3,1,1,2)*14+1.1*10+10*1+6*1.16)/N16</f>
        <v>1.8653333333333333</v>
      </c>
      <c r="L16" s="20">
        <v>4</v>
      </c>
      <c r="M16" s="20">
        <v>5</v>
      </c>
      <c r="N16" s="20">
        <v>30</v>
      </c>
      <c r="O16" s="19">
        <f t="shared" si="1"/>
        <v>583.84933333333333</v>
      </c>
      <c r="P16" s="7">
        <f t="shared" si="2"/>
        <v>0.10427474866396245</v>
      </c>
      <c r="Q16" s="18">
        <f>(1+1+14+7+6+6+6+9+13+7+9+1+1+6)+18+18+52+62+40+5+7+7+9+8</f>
        <v>313</v>
      </c>
      <c r="R16" s="19">
        <f>(AVERAGE(1,1,3,2,2,2,2,3,3,2,3,1,1,2)*14+1.1*10+10*1+6*1.16)/U16</f>
        <v>1.8653333333333333</v>
      </c>
      <c r="S16" s="20">
        <v>4</v>
      </c>
      <c r="T16" s="20">
        <v>5</v>
      </c>
      <c r="U16" s="20">
        <v>30</v>
      </c>
      <c r="V16" s="19">
        <f t="shared" si="3"/>
        <v>583.84933333333333</v>
      </c>
      <c r="W16" s="7">
        <f t="shared" si="7"/>
        <v>7.8254594019672372E-2</v>
      </c>
      <c r="X16" s="18">
        <f>(1+1+14+7+6+6+6+9+13+7+9+1+1+6)+18+18+52+62+40+5+7+7+9+8</f>
        <v>313</v>
      </c>
      <c r="Y16" s="19">
        <f>(AVERAGE(1,1,3,2,2,2,2,3,3,2,3,1,1,2)*14+1.1*10+10*1+6*1.16)/AB16</f>
        <v>1.8653333333333333</v>
      </c>
      <c r="Z16" s="20">
        <v>4</v>
      </c>
      <c r="AA16" s="20">
        <v>5</v>
      </c>
      <c r="AB16" s="20">
        <v>30</v>
      </c>
      <c r="AC16" s="16">
        <f t="shared" si="4"/>
        <v>583.84933333333333</v>
      </c>
      <c r="AD16" s="7">
        <f t="shared" si="8"/>
        <v>8.9632727187013872E-2</v>
      </c>
      <c r="AE16" s="22">
        <f>52+62+40+5+7+7+9+8+(15+14+7+6+5+5+5+7+6+6+6+12+9+5)</f>
        <v>298</v>
      </c>
      <c r="AF16" s="16">
        <f>((10*1.1+10*1+6*1.16)+4+4+2+2+2+2+2+2+2+2+2+4+3+2)/AI16</f>
        <v>1.5740000000000001</v>
      </c>
      <c r="AG16" s="24">
        <v>4</v>
      </c>
      <c r="AH16" s="24">
        <v>5</v>
      </c>
      <c r="AI16" s="24">
        <v>40</v>
      </c>
      <c r="AJ16" s="16">
        <f t="shared" si="5"/>
        <v>469.05200000000002</v>
      </c>
      <c r="AK16" s="7">
        <f t="shared" si="9"/>
        <v>0.31073124568580129</v>
      </c>
      <c r="AL16" s="22">
        <f>364+8+9+156+46</f>
        <v>583</v>
      </c>
      <c r="AM16" s="16">
        <f>(39*1.974+18*2.61)/AP16</f>
        <v>2.1748421052631581</v>
      </c>
      <c r="AN16" s="24">
        <v>5</v>
      </c>
      <c r="AO16" s="24">
        <v>3</v>
      </c>
      <c r="AP16" s="24">
        <f>18+39</f>
        <v>57</v>
      </c>
      <c r="AQ16" s="16">
        <f t="shared" si="15"/>
        <v>1267.9329473684211</v>
      </c>
      <c r="AR16" s="7">
        <f t="shared" si="10"/>
        <v>0.46114484592081728</v>
      </c>
      <c r="AS16" s="4">
        <f t="shared" si="11"/>
        <v>881</v>
      </c>
      <c r="AT16" s="5">
        <f t="shared" si="12"/>
        <v>1.9270721649484537</v>
      </c>
      <c r="AU16" s="6">
        <f t="shared" si="13"/>
        <v>9</v>
      </c>
      <c r="AV16" s="6">
        <f t="shared" si="13"/>
        <v>8</v>
      </c>
      <c r="AW16" s="6">
        <f t="shared" si="13"/>
        <v>97</v>
      </c>
      <c r="AX16" s="16">
        <f t="shared" si="16"/>
        <v>1697.7505773195876</v>
      </c>
      <c r="AY16" s="7">
        <f t="shared" si="14"/>
        <v>0.40202841212289581</v>
      </c>
    </row>
    <row r="17" spans="1:51">
      <c r="A17" t="s">
        <v>75</v>
      </c>
      <c r="B17" s="3" t="s">
        <v>11</v>
      </c>
      <c r="C17" s="4">
        <v>8</v>
      </c>
      <c r="D17" s="5">
        <v>3</v>
      </c>
      <c r="E17" s="26">
        <v>3</v>
      </c>
      <c r="F17" s="26">
        <v>1</v>
      </c>
      <c r="G17" s="26">
        <v>1</v>
      </c>
      <c r="H17" s="5">
        <f t="shared" si="6"/>
        <v>24</v>
      </c>
      <c r="I17" s="7">
        <f t="shared" si="0"/>
        <v>3.8721438259688352E-3</v>
      </c>
      <c r="J17" s="4">
        <v>8</v>
      </c>
      <c r="K17" s="21">
        <v>3</v>
      </c>
      <c r="L17" s="26">
        <v>3</v>
      </c>
      <c r="M17" s="26">
        <v>1</v>
      </c>
      <c r="N17" s="26">
        <v>1</v>
      </c>
      <c r="O17" s="16">
        <f t="shared" si="1"/>
        <v>24</v>
      </c>
      <c r="P17" s="7">
        <f t="shared" si="2"/>
        <v>4.2863694879074375E-3</v>
      </c>
      <c r="Q17" s="4">
        <v>8</v>
      </c>
      <c r="R17" s="25">
        <v>3</v>
      </c>
      <c r="S17" s="26">
        <v>3</v>
      </c>
      <c r="T17" s="26">
        <v>1</v>
      </c>
      <c r="U17" s="26">
        <v>1</v>
      </c>
      <c r="V17" s="16">
        <f t="shared" si="3"/>
        <v>24</v>
      </c>
      <c r="W17" s="7">
        <f t="shared" si="7"/>
        <v>3.2167721178160179E-3</v>
      </c>
      <c r="X17" s="4">
        <f>1+1+6+5+19</f>
        <v>32</v>
      </c>
      <c r="Y17" s="25">
        <f>AVERAGE(2,2,6)</f>
        <v>3.3333333333333335</v>
      </c>
      <c r="Z17" s="24">
        <v>3</v>
      </c>
      <c r="AA17" s="24">
        <v>1</v>
      </c>
      <c r="AB17" s="24">
        <v>3</v>
      </c>
      <c r="AC17" s="16">
        <f t="shared" si="4"/>
        <v>106.66666666666667</v>
      </c>
      <c r="AD17" s="7">
        <f t="shared" si="8"/>
        <v>1.6375499101277519E-2</v>
      </c>
      <c r="AE17" s="4">
        <f>1+1+6</f>
        <v>8</v>
      </c>
      <c r="AF17" s="25">
        <v>2</v>
      </c>
      <c r="AG17" s="24">
        <v>2</v>
      </c>
      <c r="AH17" s="24">
        <v>1</v>
      </c>
      <c r="AI17" s="24">
        <v>1</v>
      </c>
      <c r="AJ17" s="16">
        <f t="shared" si="5"/>
        <v>16</v>
      </c>
      <c r="AK17" s="7">
        <f t="shared" si="9"/>
        <v>1.0599464304539412E-2</v>
      </c>
      <c r="AL17" s="4">
        <v>7</v>
      </c>
      <c r="AM17" s="25">
        <v>2</v>
      </c>
      <c r="AN17" s="24">
        <v>1</v>
      </c>
      <c r="AO17" s="24">
        <v>0</v>
      </c>
      <c r="AP17" s="24">
        <v>1</v>
      </c>
      <c r="AQ17" s="16">
        <f t="shared" si="15"/>
        <v>14</v>
      </c>
      <c r="AR17" s="7">
        <f t="shared" si="10"/>
        <v>5.0917738641391456E-3</v>
      </c>
      <c r="AS17" s="4">
        <f t="shared" si="11"/>
        <v>15</v>
      </c>
      <c r="AT17" s="5">
        <f t="shared" si="12"/>
        <v>2</v>
      </c>
      <c r="AU17" s="6">
        <f t="shared" si="13"/>
        <v>3</v>
      </c>
      <c r="AV17" s="6">
        <f t="shared" si="13"/>
        <v>1</v>
      </c>
      <c r="AW17" s="6">
        <f t="shared" si="13"/>
        <v>2</v>
      </c>
      <c r="AX17" s="16">
        <f t="shared" si="16"/>
        <v>30</v>
      </c>
      <c r="AY17" s="7">
        <f t="shared" si="14"/>
        <v>7.1040190030319849E-3</v>
      </c>
    </row>
    <row r="18" spans="1:51">
      <c r="A18" t="s">
        <v>75</v>
      </c>
      <c r="B18" s="3" t="s">
        <v>12</v>
      </c>
      <c r="C18" s="4">
        <f>(1+1+1)+(11+13+12)+7+117+5+6+186</f>
        <v>360</v>
      </c>
      <c r="D18" s="5">
        <f>(AVERAGE(4,3,5)*3+1+12*2.66+7*5.714)/G18</f>
        <v>3.6920869565217393</v>
      </c>
      <c r="E18" s="26">
        <v>4</v>
      </c>
      <c r="F18" s="26">
        <v>2</v>
      </c>
      <c r="G18" s="26">
        <f>16+7</f>
        <v>23</v>
      </c>
      <c r="H18" s="5">
        <f>C18*D18</f>
        <v>1329.1513043478262</v>
      </c>
      <c r="I18" s="7">
        <f t="shared" si="0"/>
        <v>0.21444437570453581</v>
      </c>
      <c r="J18" s="4">
        <f>(1+1+1)+(11+13+12)+7+5+6</f>
        <v>57</v>
      </c>
      <c r="K18" s="5">
        <f>AVERAGE(4,3,5,1)</f>
        <v>3.25</v>
      </c>
      <c r="L18" s="26">
        <v>3</v>
      </c>
      <c r="M18" s="26">
        <v>2</v>
      </c>
      <c r="N18" s="26">
        <v>4</v>
      </c>
      <c r="O18" s="16">
        <f t="shared" si="1"/>
        <v>185.25</v>
      </c>
      <c r="P18" s="7">
        <f t="shared" si="2"/>
        <v>3.3085414484785539E-2</v>
      </c>
      <c r="Q18" s="4">
        <f>(1+1+1)+(11+13+12)+7+(1+1)+(1+1+1)</f>
        <v>51</v>
      </c>
      <c r="R18" s="5">
        <f>AVERAGE(4,3,5,1)</f>
        <v>3.25</v>
      </c>
      <c r="S18" s="26">
        <v>3</v>
      </c>
      <c r="T18" s="26">
        <v>2</v>
      </c>
      <c r="U18" s="26">
        <v>4</v>
      </c>
      <c r="V18" s="16">
        <f t="shared" si="3"/>
        <v>165.75</v>
      </c>
      <c r="W18" s="7">
        <f t="shared" si="7"/>
        <v>2.2215832438666875E-2</v>
      </c>
      <c r="X18" s="4">
        <f>(3)+7+(1+11+21)+137+63</f>
        <v>243</v>
      </c>
      <c r="Y18" s="5">
        <f>(1+4+4+4+14*3.22+10*1.6)/AB18</f>
        <v>2.6457142857142864</v>
      </c>
      <c r="Z18" s="24">
        <v>5</v>
      </c>
      <c r="AA18" s="24">
        <v>2</v>
      </c>
      <c r="AB18" s="24">
        <v>28</v>
      </c>
      <c r="AC18" s="16">
        <f t="shared" si="4"/>
        <v>642.90857142857158</v>
      </c>
      <c r="AD18" s="7">
        <f t="shared" si="8"/>
        <v>9.8699519377801762E-2</v>
      </c>
      <c r="AE18" s="4">
        <f>6+6+(6+5+7)+(8+11+12)</f>
        <v>61</v>
      </c>
      <c r="AF18" s="5">
        <f>(1+(2+2+3)+(2+3+3))/AI18</f>
        <v>2.2857142857142856</v>
      </c>
      <c r="AG18" s="24">
        <v>3</v>
      </c>
      <c r="AH18" s="24">
        <v>1</v>
      </c>
      <c r="AI18" s="24">
        <v>7</v>
      </c>
      <c r="AJ18" s="16">
        <f t="shared" si="5"/>
        <v>139.42857142857142</v>
      </c>
      <c r="AK18" s="7">
        <f t="shared" si="9"/>
        <v>9.2366760368129158E-2</v>
      </c>
      <c r="AL18" s="4">
        <f>7+2+3+15+5+5</f>
        <v>37</v>
      </c>
      <c r="AM18" s="5">
        <f>AVERAGE(2,1,3,4,2,2)</f>
        <v>2.3333333333333335</v>
      </c>
      <c r="AN18" s="24">
        <v>2</v>
      </c>
      <c r="AO18" s="24">
        <v>0</v>
      </c>
      <c r="AP18" s="24">
        <v>6</v>
      </c>
      <c r="AQ18" s="16">
        <f t="shared" si="15"/>
        <v>86.333333333333343</v>
      </c>
      <c r="AR18" s="7">
        <f t="shared" si="10"/>
        <v>3.1399272162191405E-2</v>
      </c>
      <c r="AS18" s="4">
        <f t="shared" si="11"/>
        <v>98</v>
      </c>
      <c r="AT18" s="5">
        <f t="shared" si="12"/>
        <v>2.3076923076923075</v>
      </c>
      <c r="AU18" s="6">
        <f t="shared" si="13"/>
        <v>5</v>
      </c>
      <c r="AV18" s="6">
        <f t="shared" si="13"/>
        <v>1</v>
      </c>
      <c r="AW18" s="6">
        <f t="shared" si="13"/>
        <v>13</v>
      </c>
      <c r="AX18" s="16">
        <f t="shared" si="16"/>
        <v>226.15384615384613</v>
      </c>
      <c r="AY18" s="7">
        <f t="shared" si="14"/>
        <v>5.3553374022856495E-2</v>
      </c>
    </row>
    <row r="19" spans="1:51">
      <c r="A19" t="s">
        <v>75</v>
      </c>
      <c r="B19" s="3" t="s">
        <v>13</v>
      </c>
      <c r="C19" s="4">
        <v>274</v>
      </c>
      <c r="D19" s="5">
        <v>2.5670000000000002</v>
      </c>
      <c r="E19" s="26">
        <v>3</v>
      </c>
      <c r="F19" s="26">
        <v>2</v>
      </c>
      <c r="G19" s="26">
        <v>29</v>
      </c>
      <c r="H19" s="5">
        <f>C19*D19</f>
        <v>703.35800000000006</v>
      </c>
      <c r="I19" s="7">
        <f t="shared" si="0"/>
        <v>0.11347930571440784</v>
      </c>
      <c r="J19" s="4">
        <v>0</v>
      </c>
      <c r="K19" s="21">
        <v>0</v>
      </c>
      <c r="L19" s="26">
        <v>0</v>
      </c>
      <c r="M19" s="26">
        <v>0</v>
      </c>
      <c r="N19" s="26">
        <v>0</v>
      </c>
      <c r="O19" s="16">
        <f t="shared" si="1"/>
        <v>0</v>
      </c>
      <c r="P19" s="7">
        <f t="shared" si="2"/>
        <v>0</v>
      </c>
      <c r="Q19" s="4">
        <v>0</v>
      </c>
      <c r="R19" s="25">
        <v>0</v>
      </c>
      <c r="S19" s="26">
        <v>0</v>
      </c>
      <c r="T19" s="26">
        <v>0</v>
      </c>
      <c r="U19" s="26">
        <v>0</v>
      </c>
      <c r="V19" s="16">
        <f t="shared" si="3"/>
        <v>0</v>
      </c>
      <c r="W19" s="7">
        <f t="shared" si="7"/>
        <v>0</v>
      </c>
      <c r="X19" s="4">
        <v>0</v>
      </c>
      <c r="Y19" s="21">
        <v>0</v>
      </c>
      <c r="Z19" s="24">
        <v>0</v>
      </c>
      <c r="AA19" s="24">
        <v>0</v>
      </c>
      <c r="AB19" s="24">
        <v>0</v>
      </c>
      <c r="AC19" s="16">
        <f t="shared" si="4"/>
        <v>0</v>
      </c>
      <c r="AD19" s="7">
        <f t="shared" si="8"/>
        <v>0</v>
      </c>
      <c r="AE19" s="4">
        <v>0</v>
      </c>
      <c r="AF19" s="21">
        <v>0</v>
      </c>
      <c r="AG19" s="24">
        <v>0</v>
      </c>
      <c r="AH19" s="24">
        <v>0</v>
      </c>
      <c r="AI19" s="24">
        <v>0</v>
      </c>
      <c r="AJ19" s="16">
        <f t="shared" si="5"/>
        <v>0</v>
      </c>
      <c r="AK19" s="7">
        <f t="shared" si="9"/>
        <v>0</v>
      </c>
      <c r="AL19" s="4">
        <v>0</v>
      </c>
      <c r="AM19" s="21">
        <v>0</v>
      </c>
      <c r="AN19" s="24">
        <v>0</v>
      </c>
      <c r="AO19" s="24">
        <v>0</v>
      </c>
      <c r="AP19" s="24">
        <v>0</v>
      </c>
      <c r="AQ19" s="16">
        <f t="shared" si="15"/>
        <v>0</v>
      </c>
      <c r="AR19" s="7">
        <f t="shared" si="10"/>
        <v>0</v>
      </c>
      <c r="AS19" s="4">
        <f t="shared" si="11"/>
        <v>0</v>
      </c>
      <c r="AT19" s="5">
        <f t="shared" si="12"/>
        <v>0</v>
      </c>
      <c r="AU19" s="6">
        <f t="shared" si="13"/>
        <v>0</v>
      </c>
      <c r="AV19" s="6">
        <f t="shared" si="13"/>
        <v>0</v>
      </c>
      <c r="AW19" s="6">
        <f t="shared" si="13"/>
        <v>0</v>
      </c>
      <c r="AX19" s="16">
        <f t="shared" si="16"/>
        <v>0</v>
      </c>
      <c r="AY19" s="7">
        <f t="shared" si="14"/>
        <v>0</v>
      </c>
    </row>
    <row r="20" spans="1:51">
      <c r="A20" t="s">
        <v>5</v>
      </c>
      <c r="B20" s="1" t="s">
        <v>8</v>
      </c>
      <c r="C20" s="22">
        <f>C8-SUM(C10:C19)</f>
        <v>564</v>
      </c>
      <c r="D20" s="16">
        <f>D8</f>
        <v>2.0357613168724278</v>
      </c>
      <c r="E20" s="23"/>
      <c r="F20" s="23"/>
      <c r="G20" s="23"/>
      <c r="H20" s="16">
        <f>C20*D20</f>
        <v>1148.1693827160493</v>
      </c>
      <c r="I20" s="17">
        <f t="shared" si="0"/>
        <v>0.1852448744354333</v>
      </c>
      <c r="J20" s="22">
        <f>J8-SUM(J10:J19)</f>
        <v>604</v>
      </c>
      <c r="K20" s="16">
        <f>K8</f>
        <v>1.948</v>
      </c>
      <c r="L20" s="23"/>
      <c r="M20" s="23"/>
      <c r="N20" s="23"/>
      <c r="O20" s="16">
        <f>J20*K20</f>
        <v>1176.5919999999999</v>
      </c>
      <c r="P20" s="7">
        <f t="shared" si="2"/>
        <v>0.21013783535483282</v>
      </c>
      <c r="Q20" s="18">
        <f>Q8-SUM(Q10:Q19)</f>
        <v>801</v>
      </c>
      <c r="R20" s="19">
        <f>R8</f>
        <v>2.0376706827309237</v>
      </c>
      <c r="S20" s="20"/>
      <c r="T20" s="20"/>
      <c r="U20" s="20"/>
      <c r="V20" s="19">
        <f>Q20*R20</f>
        <v>1632.1742168674698</v>
      </c>
      <c r="W20" s="7">
        <f t="shared" si="7"/>
        <v>0.21876385467656131</v>
      </c>
      <c r="X20" s="22">
        <f>X8-SUM(X10:X19)</f>
        <v>478</v>
      </c>
      <c r="Y20" s="16">
        <f>Y8</f>
        <v>2.0624691358024694</v>
      </c>
      <c r="Z20" s="23"/>
      <c r="AA20" s="23"/>
      <c r="AB20" s="24"/>
      <c r="AC20" s="16">
        <f>X20*Y20</f>
        <v>985.86024691358034</v>
      </c>
      <c r="AD20" s="7">
        <f t="shared" si="8"/>
        <v>0.15134956488111159</v>
      </c>
      <c r="AE20" s="22">
        <f>AE8-SUM(AE10:AE19)</f>
        <v>107</v>
      </c>
      <c r="AF20" s="16">
        <f>AF8</f>
        <v>2.0135483870967743</v>
      </c>
      <c r="AG20" s="24"/>
      <c r="AH20" s="24"/>
      <c r="AI20" s="24"/>
      <c r="AJ20" s="16">
        <f>AE20*AF20</f>
        <v>215.44967741935486</v>
      </c>
      <c r="AK20" s="7">
        <f t="shared" si="9"/>
        <v>0.14272819782693644</v>
      </c>
      <c r="AL20" s="22">
        <v>0</v>
      </c>
      <c r="AM20" s="16">
        <v>0</v>
      </c>
      <c r="AN20" s="24">
        <v>0</v>
      </c>
      <c r="AO20" s="24">
        <v>0</v>
      </c>
      <c r="AP20" s="24">
        <v>0</v>
      </c>
      <c r="AQ20" s="16">
        <f>AL20*AM20</f>
        <v>0</v>
      </c>
      <c r="AR20" s="7">
        <f t="shared" si="10"/>
        <v>0</v>
      </c>
      <c r="AS20" s="4">
        <f>AL20+AE20</f>
        <v>107</v>
      </c>
      <c r="AT20" s="5">
        <f>AF20</f>
        <v>2.0135483870967743</v>
      </c>
      <c r="AU20" s="6">
        <f>AN20+AG20</f>
        <v>0</v>
      </c>
      <c r="AV20" s="6">
        <f>AO20+AH20</f>
        <v>0</v>
      </c>
      <c r="AW20" s="6">
        <f>AP20+AI20</f>
        <v>0</v>
      </c>
      <c r="AX20" s="16">
        <f>AS20*AT20</f>
        <v>215.44967741935486</v>
      </c>
      <c r="AY20" s="7">
        <f>AX20/AX$22</f>
        <v>5.1018620086140269E-2</v>
      </c>
    </row>
    <row r="21" spans="1:51">
      <c r="C21" s="4"/>
      <c r="D21" s="6"/>
      <c r="E21" s="6"/>
      <c r="F21" s="6"/>
      <c r="G21" s="6"/>
      <c r="H21" s="6"/>
      <c r="I21" s="15"/>
      <c r="J21" s="4"/>
      <c r="K21" s="6"/>
      <c r="L21" s="6"/>
      <c r="M21" s="6"/>
      <c r="N21" s="6"/>
      <c r="O21" s="6"/>
      <c r="P21" s="15"/>
      <c r="Q21" s="4"/>
      <c r="R21" s="6"/>
      <c r="S21" s="6"/>
      <c r="T21" s="6"/>
      <c r="U21" s="6"/>
      <c r="V21" s="6"/>
      <c r="W21" s="15"/>
      <c r="X21" s="4"/>
      <c r="Y21" s="6"/>
      <c r="Z21" s="6"/>
      <c r="AA21" s="6"/>
      <c r="AB21" s="6"/>
      <c r="AC21" s="6"/>
      <c r="AD21" s="15"/>
      <c r="AE21" s="4"/>
      <c r="AF21" s="6"/>
      <c r="AG21" s="6"/>
      <c r="AH21" s="6"/>
      <c r="AI21" s="6"/>
      <c r="AJ21" s="6"/>
      <c r="AK21" s="15"/>
      <c r="AL21" s="4"/>
      <c r="AM21" s="6"/>
      <c r="AN21" s="6"/>
      <c r="AO21" s="6"/>
      <c r="AP21" s="6"/>
      <c r="AQ21" s="6"/>
      <c r="AR21" s="15"/>
      <c r="AS21" s="4"/>
      <c r="AT21" s="6"/>
      <c r="AU21" s="6"/>
      <c r="AV21" s="6"/>
      <c r="AW21" s="6"/>
      <c r="AX21" s="6"/>
      <c r="AY21" s="15"/>
    </row>
    <row r="22" spans="1:51">
      <c r="B22" s="1" t="s">
        <v>18</v>
      </c>
      <c r="C22" s="8">
        <f>SUM(C10:C20)</f>
        <v>2686</v>
      </c>
      <c r="D22" s="10">
        <f>AVERAGE(D10:D20)</f>
        <v>2.2516658603518507</v>
      </c>
      <c r="E22" s="9">
        <f>SUM(E10:E19)</f>
        <v>31</v>
      </c>
      <c r="F22" s="9">
        <f>SUM(F10:F19)</f>
        <v>17</v>
      </c>
      <c r="G22" s="9">
        <f>SUM(G10:G19)</f>
        <v>193</v>
      </c>
      <c r="H22" s="10">
        <f>SUM(H10:H20)</f>
        <v>6198.1168775400656</v>
      </c>
      <c r="I22" s="11">
        <f>SUM(I10:I20)</f>
        <v>1.0000000000000002</v>
      </c>
      <c r="J22" s="8">
        <f>SUM(J10:J20)</f>
        <v>2575</v>
      </c>
      <c r="K22" s="10">
        <f>AVERAGE(K10:K20)</f>
        <v>2.1505151515151515</v>
      </c>
      <c r="L22" s="9">
        <f>SUM(L10:L19)</f>
        <v>33</v>
      </c>
      <c r="M22" s="9">
        <f>SUM(M10:M19)</f>
        <v>15</v>
      </c>
      <c r="N22" s="9">
        <f>SUM(N10:N19)</f>
        <v>177</v>
      </c>
      <c r="O22" s="10">
        <f>SUM(O10:O20)</f>
        <v>5599.1439999999993</v>
      </c>
      <c r="P22" s="11">
        <f>SUM(P10:P20)</f>
        <v>1</v>
      </c>
      <c r="Q22" s="8">
        <f>SUM(Q10:Q19)</f>
        <v>2147</v>
      </c>
      <c r="R22" s="10">
        <f>AVERAGE(R10:R19)</f>
        <v>2.495421212121212</v>
      </c>
      <c r="S22" s="9">
        <f>SUM(S10:S19)</f>
        <v>33</v>
      </c>
      <c r="T22" s="9">
        <f>SUM(T10:T19)</f>
        <v>15</v>
      </c>
      <c r="U22" s="9">
        <f>SUM(U10:U19)</f>
        <v>172</v>
      </c>
      <c r="V22" s="10">
        <f>SUM(V10:V20)</f>
        <v>7460.8953077765609</v>
      </c>
      <c r="W22" s="11">
        <f>SUM(W10:W20)</f>
        <v>0.99999999999999989</v>
      </c>
      <c r="X22" s="8">
        <f>SUM(X10:X19)</f>
        <v>2227</v>
      </c>
      <c r="Y22" s="10">
        <f>AVERAGE(Y10:Y19)</f>
        <v>2.5573158730158729</v>
      </c>
      <c r="Z22" s="9">
        <f>SUM(Z10:Z19)</f>
        <v>35</v>
      </c>
      <c r="AA22" s="9">
        <f>SUM(AA10:AA19)</f>
        <v>14</v>
      </c>
      <c r="AB22" s="9">
        <f>SUM(AB10:AB19)</f>
        <v>185</v>
      </c>
      <c r="AC22" s="10">
        <f>SUM(AC10:AC20)</f>
        <v>6513.7963738977069</v>
      </c>
      <c r="AD22" s="11">
        <f>SUM(AD10:AD20)</f>
        <v>1</v>
      </c>
      <c r="AE22" s="8">
        <f>SUM(AE10:AE19)</f>
        <v>725</v>
      </c>
      <c r="AF22" s="10">
        <f>AVERAGE(AF10:AF19)</f>
        <v>1.5055428571428571</v>
      </c>
      <c r="AG22" s="9">
        <f>SUM(AG10:AG19)</f>
        <v>20</v>
      </c>
      <c r="AH22" s="9">
        <f>SUM(AH10:AH19)</f>
        <v>10</v>
      </c>
      <c r="AI22" s="9">
        <f>SUM(AI10:AI19)</f>
        <v>85</v>
      </c>
      <c r="AJ22" s="10">
        <f>SUM(AJ10:AJ20)</f>
        <v>1509.5102488479263</v>
      </c>
      <c r="AK22" s="11">
        <f>SUM(AK10:AK20)</f>
        <v>1</v>
      </c>
      <c r="AL22" s="8">
        <f>SUM(AL10:AL19)</f>
        <v>1141</v>
      </c>
      <c r="AM22" s="10">
        <f>AVERAGE(AM10:AM19)</f>
        <v>1.6614842105263157</v>
      </c>
      <c r="AN22" s="9">
        <f t="shared" ref="AN22:AS22" si="17">SUM(AN10:AN19)</f>
        <v>18</v>
      </c>
      <c r="AO22" s="9">
        <f t="shared" si="17"/>
        <v>3</v>
      </c>
      <c r="AP22" s="9">
        <f t="shared" si="17"/>
        <v>104</v>
      </c>
      <c r="AQ22" s="10">
        <f t="shared" si="17"/>
        <v>2749.532947368421</v>
      </c>
      <c r="AR22" s="11">
        <f t="shared" si="17"/>
        <v>1</v>
      </c>
      <c r="AS22" s="8">
        <f t="shared" si="17"/>
        <v>1866</v>
      </c>
      <c r="AT22" s="10">
        <f>AVERAGE(AT10:AT19)</f>
        <v>1.6854259422135711</v>
      </c>
      <c r="AU22" s="9">
        <f>SUM(AU10:AU19)</f>
        <v>38</v>
      </c>
      <c r="AV22" s="9">
        <f>SUM(AV10:AV19)</f>
        <v>13</v>
      </c>
      <c r="AW22" s="9">
        <f>SUM(AW10:AW19)</f>
        <v>189</v>
      </c>
      <c r="AX22" s="10">
        <f>SUM(AX10:AX20)</f>
        <v>4222.9616766503641</v>
      </c>
      <c r="AY22" s="11">
        <f>SUM(AY10:AY20)</f>
        <v>1.0000000000000002</v>
      </c>
    </row>
    <row r="43" spans="2:38">
      <c r="C43" t="s">
        <v>42</v>
      </c>
    </row>
    <row r="44" spans="2:38">
      <c r="X44" t="s">
        <v>43</v>
      </c>
      <c r="AE44" t="s">
        <v>38</v>
      </c>
      <c r="AL44" t="s">
        <v>45</v>
      </c>
    </row>
    <row r="45" spans="2:38">
      <c r="X45" t="s">
        <v>44</v>
      </c>
      <c r="AE45" t="s">
        <v>39</v>
      </c>
      <c r="AL45" t="s">
        <v>46</v>
      </c>
    </row>
    <row r="47" spans="2:38">
      <c r="B47" s="1" t="s">
        <v>27</v>
      </c>
    </row>
    <row r="48" spans="2:38">
      <c r="B48" s="3" t="s">
        <v>5</v>
      </c>
      <c r="C48" t="s">
        <v>28</v>
      </c>
    </row>
    <row r="49" spans="1:11">
      <c r="B49" s="3" t="s">
        <v>21</v>
      </c>
      <c r="C49" t="s">
        <v>29</v>
      </c>
    </row>
    <row r="50" spans="1:11">
      <c r="B50" s="3" t="s">
        <v>6</v>
      </c>
      <c r="C50" t="s">
        <v>30</v>
      </c>
    </row>
    <row r="51" spans="1:11">
      <c r="B51" s="3" t="s">
        <v>7</v>
      </c>
      <c r="C51" t="s">
        <v>31</v>
      </c>
    </row>
    <row r="52" spans="1:11">
      <c r="B52" s="3" t="s">
        <v>8</v>
      </c>
      <c r="C52" t="s">
        <v>47</v>
      </c>
    </row>
    <row r="53" spans="1:11">
      <c r="B53" s="3" t="s">
        <v>9</v>
      </c>
      <c r="C53" t="s">
        <v>32</v>
      </c>
    </row>
    <row r="54" spans="1:11">
      <c r="B54" s="3" t="s">
        <v>10</v>
      </c>
      <c r="C54" t="s">
        <v>33</v>
      </c>
    </row>
    <row r="55" spans="1:11">
      <c r="B55" s="3" t="s">
        <v>24</v>
      </c>
      <c r="C55" t="s">
        <v>34</v>
      </c>
    </row>
    <row r="56" spans="1:11">
      <c r="B56" s="3" t="s">
        <v>11</v>
      </c>
      <c r="C56" t="s">
        <v>35</v>
      </c>
    </row>
    <row r="57" spans="1:11">
      <c r="B57" s="3" t="s">
        <v>12</v>
      </c>
      <c r="C57" t="s">
        <v>37</v>
      </c>
    </row>
    <row r="58" spans="1:11">
      <c r="B58" s="3" t="s">
        <v>13</v>
      </c>
      <c r="C58" t="s">
        <v>36</v>
      </c>
    </row>
    <row r="59" spans="1:11">
      <c r="B59" s="3"/>
    </row>
    <row r="60" spans="1:11">
      <c r="B60" s="3"/>
    </row>
    <row r="61" spans="1:11">
      <c r="B61" s="3"/>
    </row>
    <row r="62" spans="1:11">
      <c r="A62" s="1" t="s">
        <v>61</v>
      </c>
      <c r="B62" s="1" t="s">
        <v>76</v>
      </c>
      <c r="C62" s="34" t="s">
        <v>22</v>
      </c>
      <c r="D62" s="34" t="s">
        <v>23</v>
      </c>
      <c r="E62" s="34" t="s">
        <v>14</v>
      </c>
      <c r="F62" s="34" t="s">
        <v>19</v>
      </c>
      <c r="G62" s="34" t="s">
        <v>65</v>
      </c>
      <c r="H62" s="34" t="s">
        <v>66</v>
      </c>
      <c r="I62" s="34" t="s">
        <v>64</v>
      </c>
      <c r="K62" t="s">
        <v>67</v>
      </c>
    </row>
    <row r="63" spans="1:11">
      <c r="A63" t="s">
        <v>5</v>
      </c>
      <c r="B63" s="3" t="s">
        <v>5</v>
      </c>
      <c r="C63" s="35">
        <f>V10</f>
        <v>2114.5090909090904</v>
      </c>
      <c r="D63" s="35">
        <f>AC10</f>
        <v>1529.4616666666666</v>
      </c>
      <c r="E63" s="35">
        <f>H10</f>
        <v>0</v>
      </c>
      <c r="F63" s="35">
        <f>O10</f>
        <v>1067.8399999999999</v>
      </c>
      <c r="G63" s="35">
        <f>AX10</f>
        <v>997.02</v>
      </c>
      <c r="H63" s="35">
        <f>AQ10</f>
        <v>779.1</v>
      </c>
      <c r="I63" s="35">
        <f>AJ10</f>
        <v>200.57142857142856</v>
      </c>
      <c r="K63" s="35">
        <f t="shared" ref="K63:K73" si="18">SUM(C63:I63)</f>
        <v>6688.502186147186</v>
      </c>
    </row>
    <row r="64" spans="1:11">
      <c r="A64" t="s">
        <v>5</v>
      </c>
      <c r="B64" s="3" t="s">
        <v>8</v>
      </c>
      <c r="C64" s="35">
        <f>V20</f>
        <v>1632.1742168674698</v>
      </c>
      <c r="D64" s="35">
        <f>AC20</f>
        <v>985.86024691358034</v>
      </c>
      <c r="E64" s="35">
        <f>H20</f>
        <v>1148.1693827160493</v>
      </c>
      <c r="F64" s="35">
        <f>O20</f>
        <v>1176.5919999999999</v>
      </c>
      <c r="G64" s="35">
        <f>AX20</f>
        <v>215.44967741935486</v>
      </c>
      <c r="H64" s="35">
        <f>AQ20</f>
        <v>0</v>
      </c>
      <c r="I64" s="35">
        <f>AJ20</f>
        <v>215.44967741935486</v>
      </c>
      <c r="K64" s="35">
        <f>SUM(C64:I64)</f>
        <v>5373.6952013358095</v>
      </c>
    </row>
    <row r="65" spans="1:11">
      <c r="A65" t="s">
        <v>74</v>
      </c>
      <c r="B65" s="3" t="s">
        <v>21</v>
      </c>
      <c r="C65" s="35">
        <f t="shared" ref="C65:C73" si="19">V11</f>
        <v>640</v>
      </c>
      <c r="D65" s="35">
        <f t="shared" ref="D65:D73" si="20">AC11</f>
        <v>136.39500000000001</v>
      </c>
      <c r="E65" s="35">
        <f t="shared" ref="E65:E73" si="21">H11</f>
        <v>108.5</v>
      </c>
      <c r="F65" s="35">
        <f t="shared" ref="F65:F73" si="22">O11</f>
        <v>291</v>
      </c>
      <c r="G65" s="35">
        <f t="shared" ref="G65:G73" si="23">AX11</f>
        <v>379.09090909090907</v>
      </c>
      <c r="H65" s="35">
        <f t="shared" ref="H65:H73" si="24">AQ11</f>
        <v>189</v>
      </c>
      <c r="I65" s="35">
        <f t="shared" ref="I65:I73" si="25">AJ11</f>
        <v>195.42857142857144</v>
      </c>
      <c r="K65" s="35">
        <f t="shared" si="18"/>
        <v>1939.4144805194805</v>
      </c>
    </row>
    <row r="66" spans="1:11">
      <c r="A66" t="s">
        <v>74</v>
      </c>
      <c r="B66" s="3" t="s">
        <v>68</v>
      </c>
      <c r="C66" s="35">
        <f t="shared" si="19"/>
        <v>1797.366</v>
      </c>
      <c r="D66" s="35">
        <f t="shared" si="20"/>
        <v>1797.366</v>
      </c>
      <c r="E66" s="35">
        <f t="shared" si="21"/>
        <v>1797.366</v>
      </c>
      <c r="F66" s="35">
        <f t="shared" si="22"/>
        <v>1797.366</v>
      </c>
      <c r="G66" s="35">
        <f t="shared" si="23"/>
        <v>0</v>
      </c>
      <c r="H66" s="35">
        <f t="shared" si="24"/>
        <v>0</v>
      </c>
      <c r="I66" s="35">
        <f t="shared" si="25"/>
        <v>0</v>
      </c>
      <c r="K66" s="35">
        <f t="shared" si="18"/>
        <v>7189.4639999999999</v>
      </c>
    </row>
    <row r="67" spans="1:11">
      <c r="A67" t="s">
        <v>74</v>
      </c>
      <c r="B67" s="3" t="s">
        <v>7</v>
      </c>
      <c r="C67" s="35">
        <f t="shared" si="19"/>
        <v>2</v>
      </c>
      <c r="D67" s="35">
        <f t="shared" si="20"/>
        <v>2</v>
      </c>
      <c r="E67" s="35">
        <f t="shared" si="21"/>
        <v>2</v>
      </c>
      <c r="F67" s="35">
        <f t="shared" si="22"/>
        <v>2</v>
      </c>
      <c r="G67" s="35">
        <f t="shared" si="23"/>
        <v>92.250000000000014</v>
      </c>
      <c r="H67" s="35">
        <f t="shared" si="24"/>
        <v>92.166666666666671</v>
      </c>
      <c r="I67" s="35">
        <f t="shared" si="25"/>
        <v>2</v>
      </c>
      <c r="K67" s="35">
        <f t="shared" si="18"/>
        <v>194.41666666666669</v>
      </c>
    </row>
    <row r="68" spans="1:11">
      <c r="A68" t="s">
        <v>75</v>
      </c>
      <c r="B68" s="3" t="s">
        <v>9</v>
      </c>
      <c r="C68" s="35">
        <f t="shared" si="19"/>
        <v>154.58000000000001</v>
      </c>
      <c r="D68" s="35">
        <f t="shared" si="20"/>
        <v>267.28888888888889</v>
      </c>
      <c r="E68" s="35">
        <f t="shared" si="21"/>
        <v>154.58000000000001</v>
      </c>
      <c r="F68" s="35">
        <f t="shared" si="22"/>
        <v>154.58000000000001</v>
      </c>
      <c r="G68" s="35">
        <f t="shared" si="23"/>
        <v>154.58000000000001</v>
      </c>
      <c r="H68" s="35">
        <f t="shared" si="24"/>
        <v>0</v>
      </c>
      <c r="I68" s="35">
        <f t="shared" si="25"/>
        <v>154.58000000000001</v>
      </c>
      <c r="K68" s="35">
        <f t="shared" si="18"/>
        <v>1040.1888888888891</v>
      </c>
    </row>
    <row r="69" spans="1:11">
      <c r="A69" t="s">
        <v>75</v>
      </c>
      <c r="B69" s="3" t="s">
        <v>10</v>
      </c>
      <c r="C69" s="35">
        <f t="shared" si="19"/>
        <v>346.66666666666669</v>
      </c>
      <c r="D69" s="35">
        <f t="shared" si="20"/>
        <v>462</v>
      </c>
      <c r="E69" s="35">
        <f t="shared" si="21"/>
        <v>347.14285714285717</v>
      </c>
      <c r="F69" s="35">
        <f t="shared" si="22"/>
        <v>316.66666666666669</v>
      </c>
      <c r="G69" s="35">
        <f t="shared" si="23"/>
        <v>430.66666666666669</v>
      </c>
      <c r="H69" s="35">
        <f t="shared" si="24"/>
        <v>321</v>
      </c>
      <c r="I69" s="35">
        <f t="shared" si="25"/>
        <v>117</v>
      </c>
      <c r="K69" s="35">
        <f t="shared" si="18"/>
        <v>2341.1428571428573</v>
      </c>
    </row>
    <row r="70" spans="1:11">
      <c r="A70" t="s">
        <v>75</v>
      </c>
      <c r="B70" s="3" t="s">
        <v>24</v>
      </c>
      <c r="C70" s="35">
        <f t="shared" si="19"/>
        <v>583.84933333333333</v>
      </c>
      <c r="D70" s="35">
        <f t="shared" si="20"/>
        <v>583.84933333333333</v>
      </c>
      <c r="E70" s="35">
        <f t="shared" si="21"/>
        <v>583.84933333333333</v>
      </c>
      <c r="F70" s="35">
        <f t="shared" si="22"/>
        <v>583.84933333333333</v>
      </c>
      <c r="G70" s="35">
        <f t="shared" si="23"/>
        <v>1697.7505773195876</v>
      </c>
      <c r="H70" s="35">
        <f t="shared" si="24"/>
        <v>1267.9329473684211</v>
      </c>
      <c r="I70" s="35">
        <f t="shared" si="25"/>
        <v>469.05200000000002</v>
      </c>
      <c r="K70" s="35">
        <f t="shared" si="18"/>
        <v>5770.1328580213412</v>
      </c>
    </row>
    <row r="71" spans="1:11">
      <c r="A71" t="s">
        <v>75</v>
      </c>
      <c r="B71" s="3" t="s">
        <v>11</v>
      </c>
      <c r="C71" s="35">
        <f t="shared" si="19"/>
        <v>24</v>
      </c>
      <c r="D71" s="35">
        <f t="shared" si="20"/>
        <v>106.66666666666667</v>
      </c>
      <c r="E71" s="35">
        <f t="shared" si="21"/>
        <v>24</v>
      </c>
      <c r="F71" s="35">
        <f t="shared" si="22"/>
        <v>24</v>
      </c>
      <c r="G71" s="35">
        <f t="shared" si="23"/>
        <v>30</v>
      </c>
      <c r="H71" s="35">
        <f t="shared" si="24"/>
        <v>14</v>
      </c>
      <c r="I71" s="35">
        <f t="shared" si="25"/>
        <v>16</v>
      </c>
      <c r="K71" s="35">
        <f t="shared" si="18"/>
        <v>238.66666666666669</v>
      </c>
    </row>
    <row r="72" spans="1:11">
      <c r="A72" t="s">
        <v>75</v>
      </c>
      <c r="B72" s="3" t="s">
        <v>12</v>
      </c>
      <c r="C72" s="35">
        <f t="shared" si="19"/>
        <v>165.75</v>
      </c>
      <c r="D72" s="35">
        <f t="shared" si="20"/>
        <v>642.90857142857158</v>
      </c>
      <c r="E72" s="35">
        <f t="shared" si="21"/>
        <v>1329.1513043478262</v>
      </c>
      <c r="F72" s="35">
        <f t="shared" si="22"/>
        <v>185.25</v>
      </c>
      <c r="G72" s="35">
        <f t="shared" si="23"/>
        <v>226.15384615384613</v>
      </c>
      <c r="H72" s="35">
        <f t="shared" si="24"/>
        <v>86.333333333333343</v>
      </c>
      <c r="I72" s="35">
        <f t="shared" si="25"/>
        <v>139.42857142857142</v>
      </c>
      <c r="K72" s="35">
        <f t="shared" si="18"/>
        <v>2774.975626692149</v>
      </c>
    </row>
    <row r="73" spans="1:11">
      <c r="A73" t="s">
        <v>75</v>
      </c>
      <c r="B73" s="3" t="s">
        <v>13</v>
      </c>
      <c r="C73" s="35">
        <f t="shared" si="19"/>
        <v>0</v>
      </c>
      <c r="D73" s="35">
        <f t="shared" si="20"/>
        <v>0</v>
      </c>
      <c r="E73" s="35">
        <f t="shared" si="21"/>
        <v>703.35800000000006</v>
      </c>
      <c r="F73" s="35">
        <f t="shared" si="22"/>
        <v>0</v>
      </c>
      <c r="G73" s="35">
        <f t="shared" si="23"/>
        <v>0</v>
      </c>
      <c r="H73" s="35">
        <f t="shared" si="24"/>
        <v>0</v>
      </c>
      <c r="I73" s="35">
        <f t="shared" si="25"/>
        <v>0</v>
      </c>
      <c r="K73" s="35">
        <f t="shared" si="18"/>
        <v>703.35800000000006</v>
      </c>
    </row>
    <row r="74" spans="1:11">
      <c r="B74" s="1"/>
      <c r="C74" s="35"/>
      <c r="D74" s="35"/>
      <c r="E74" s="35"/>
      <c r="F74" s="35"/>
      <c r="G74" s="35"/>
      <c r="H74" s="35"/>
      <c r="I74" s="35"/>
      <c r="K74" s="36">
        <f>SUM(K63:K73)</f>
        <v>34253.95743208105</v>
      </c>
    </row>
    <row r="75" spans="1:11">
      <c r="B75" s="1"/>
      <c r="C75" s="35"/>
      <c r="D75" s="35"/>
      <c r="E75" s="35"/>
      <c r="F75" s="35"/>
      <c r="G75" s="35"/>
      <c r="H75" s="35"/>
      <c r="I75" s="35"/>
      <c r="K75" s="36"/>
    </row>
    <row r="76" spans="1:11">
      <c r="A76" s="1" t="s">
        <v>61</v>
      </c>
      <c r="B76" s="1" t="s">
        <v>76</v>
      </c>
      <c r="C76" s="34" t="s">
        <v>22</v>
      </c>
      <c r="D76" s="34" t="s">
        <v>23</v>
      </c>
      <c r="E76" s="34" t="s">
        <v>14</v>
      </c>
      <c r="F76" s="34" t="s">
        <v>19</v>
      </c>
      <c r="G76" s="34" t="s">
        <v>65</v>
      </c>
      <c r="H76" s="34" t="s">
        <v>66</v>
      </c>
      <c r="I76" s="34" t="s">
        <v>64</v>
      </c>
    </row>
    <row r="77" spans="1:11">
      <c r="A77" t="s">
        <v>5</v>
      </c>
      <c r="B77" s="3" t="s">
        <v>5</v>
      </c>
      <c r="C77" s="37">
        <f>W10</f>
        <v>0.28341224527103576</v>
      </c>
      <c r="D77" s="37">
        <f>AD10</f>
        <v>0.23480342013692265</v>
      </c>
      <c r="E77" s="37">
        <f>I10</f>
        <v>0</v>
      </c>
      <c r="F77" s="37">
        <f>P10</f>
        <v>0.19071486641529492</v>
      </c>
      <c r="G77" s="37">
        <f>AY10</f>
        <v>0.23609496754676498</v>
      </c>
      <c r="H77" s="37">
        <f>AR10</f>
        <v>0.28335721553934345</v>
      </c>
      <c r="I77" s="37">
        <f>AK10</f>
        <v>0.13287185610333332</v>
      </c>
      <c r="K77" s="37">
        <f t="shared" ref="K77:K87" si="26">SUM(F77:I77)</f>
        <v>0.84303890560473671</v>
      </c>
    </row>
    <row r="78" spans="1:11">
      <c r="A78" t="s">
        <v>5</v>
      </c>
      <c r="B78" s="3" t="s">
        <v>8</v>
      </c>
      <c r="C78" s="37">
        <f>W20</f>
        <v>0.21876385467656131</v>
      </c>
      <c r="D78" s="37">
        <f>AD20</f>
        <v>0.15134956488111159</v>
      </c>
      <c r="E78" s="37">
        <f>I20</f>
        <v>0.1852448744354333</v>
      </c>
      <c r="F78" s="37">
        <f>P20</f>
        <v>0.21013783535483282</v>
      </c>
      <c r="G78" s="37">
        <f>AY20</f>
        <v>5.1018620086140269E-2</v>
      </c>
      <c r="H78" s="37">
        <f>AR20</f>
        <v>0</v>
      </c>
      <c r="I78" s="37">
        <f>AK20</f>
        <v>0.14272819782693644</v>
      </c>
      <c r="K78" s="37">
        <f>SUM(F78:I78)</f>
        <v>0.40388465326790957</v>
      </c>
    </row>
    <row r="79" spans="1:11">
      <c r="A79" t="s">
        <v>74</v>
      </c>
      <c r="B79" s="3" t="s">
        <v>21</v>
      </c>
      <c r="C79" s="37">
        <f t="shared" ref="C79:C87" si="27">W11</f>
        <v>8.5780589808427149E-2</v>
      </c>
      <c r="D79" s="37">
        <f t="shared" ref="D79:D87" si="28">AD11</f>
        <v>2.0939401874238258E-2</v>
      </c>
      <c r="E79" s="37">
        <f t="shared" ref="E79:E87" si="29">I11</f>
        <v>1.7505316879900777E-2</v>
      </c>
      <c r="F79" s="37">
        <f t="shared" ref="F79:F87" si="30">P11</f>
        <v>5.1972230040877684E-2</v>
      </c>
      <c r="G79" s="37">
        <f t="shared" ref="G79:G87" si="31">AY11</f>
        <v>8.9768967401949618E-2</v>
      </c>
      <c r="H79" s="37">
        <f t="shared" ref="H79:H87" si="32">AR11</f>
        <v>6.8738947165878472E-2</v>
      </c>
      <c r="I79" s="37">
        <f t="shared" ref="I79:I87" si="33">AK11</f>
        <v>0.12946488543401713</v>
      </c>
      <c r="K79" s="37">
        <f t="shared" si="26"/>
        <v>0.33994503004272292</v>
      </c>
    </row>
    <row r="80" spans="1:11">
      <c r="A80" t="s">
        <v>74</v>
      </c>
      <c r="B80" s="3" t="s">
        <v>68</v>
      </c>
      <c r="C80" s="37">
        <f t="shared" si="27"/>
        <v>0.24090486809627104</v>
      </c>
      <c r="D80" s="37">
        <f t="shared" si="28"/>
        <v>0.27593217485312599</v>
      </c>
      <c r="E80" s="37">
        <f t="shared" si="29"/>
        <v>0.28998581916276256</v>
      </c>
      <c r="F80" s="37">
        <f t="shared" si="30"/>
        <v>0.32100728254175998</v>
      </c>
      <c r="G80" s="37">
        <f t="shared" si="31"/>
        <v>0</v>
      </c>
      <c r="H80" s="37">
        <f t="shared" si="32"/>
        <v>0</v>
      </c>
      <c r="I80" s="37">
        <f t="shared" si="33"/>
        <v>0</v>
      </c>
      <c r="K80" s="37">
        <f t="shared" si="26"/>
        <v>0.32100728254175998</v>
      </c>
    </row>
    <row r="81" spans="1:11">
      <c r="A81" t="s">
        <v>5</v>
      </c>
      <c r="B81" s="3" t="s">
        <v>7</v>
      </c>
      <c r="C81" s="37">
        <f t="shared" si="27"/>
        <v>2.6806434315133486E-4</v>
      </c>
      <c r="D81" s="37">
        <f t="shared" si="28"/>
        <v>3.0704060814895352E-4</v>
      </c>
      <c r="E81" s="37">
        <f t="shared" si="29"/>
        <v>3.2267865216406962E-4</v>
      </c>
      <c r="F81" s="37">
        <f t="shared" si="30"/>
        <v>3.5719745732561983E-4</v>
      </c>
      <c r="G81" s="37">
        <f t="shared" si="31"/>
        <v>2.1844858434323357E-2</v>
      </c>
      <c r="H81" s="37">
        <f t="shared" si="32"/>
        <v>3.352084460558271E-2</v>
      </c>
      <c r="I81" s="37">
        <f t="shared" si="33"/>
        <v>1.3249330380674265E-3</v>
      </c>
      <c r="K81" s="37">
        <f t="shared" si="26"/>
        <v>5.704783353529911E-2</v>
      </c>
    </row>
    <row r="82" spans="1:11">
      <c r="A82" t="s">
        <v>75</v>
      </c>
      <c r="B82" s="3" t="s">
        <v>9</v>
      </c>
      <c r="C82" s="37">
        <f t="shared" si="27"/>
        <v>2.0718693082166673E-2</v>
      </c>
      <c r="D82" s="37">
        <f t="shared" si="28"/>
        <v>4.1034271497951254E-2</v>
      </c>
      <c r="E82" s="37">
        <f t="shared" si="29"/>
        <v>2.493983302576094E-2</v>
      </c>
      <c r="F82" s="37">
        <f t="shared" si="30"/>
        <v>2.7607791476697157E-2</v>
      </c>
      <c r="G82" s="37">
        <f t="shared" si="31"/>
        <v>3.6604641916289475E-2</v>
      </c>
      <c r="H82" s="37">
        <f t="shared" si="32"/>
        <v>0</v>
      </c>
      <c r="I82" s="37">
        <f t="shared" si="33"/>
        <v>0.10240407451223141</v>
      </c>
      <c r="K82" s="37">
        <f t="shared" si="26"/>
        <v>0.16661650790521804</v>
      </c>
    </row>
    <row r="83" spans="1:11">
      <c r="A83" t="s">
        <v>75</v>
      </c>
      <c r="B83" s="3" t="s">
        <v>10</v>
      </c>
      <c r="C83" s="37">
        <f t="shared" si="27"/>
        <v>4.6464486146231374E-2</v>
      </c>
      <c r="D83" s="37">
        <f t="shared" si="28"/>
        <v>7.0926380482408263E-2</v>
      </c>
      <c r="E83" s="37">
        <f t="shared" si="29"/>
        <v>5.6007794625620659E-2</v>
      </c>
      <c r="F83" s="37">
        <f t="shared" si="30"/>
        <v>5.6556264076556471E-2</v>
      </c>
      <c r="G83" s="37">
        <f t="shared" si="31"/>
        <v>0.10198213946574806</v>
      </c>
      <c r="H83" s="37">
        <f t="shared" si="32"/>
        <v>0.11674710074204755</v>
      </c>
      <c r="I83" s="37">
        <f t="shared" si="33"/>
        <v>7.7508582726944455E-2</v>
      </c>
      <c r="K83" s="37">
        <f t="shared" si="26"/>
        <v>0.3527940870112965</v>
      </c>
    </row>
    <row r="84" spans="1:11">
      <c r="A84" t="s">
        <v>75</v>
      </c>
      <c r="B84" s="3" t="s">
        <v>24</v>
      </c>
      <c r="C84" s="37">
        <f t="shared" si="27"/>
        <v>7.8254594019672372E-2</v>
      </c>
      <c r="D84" s="37">
        <f t="shared" si="28"/>
        <v>8.9632727187013872E-2</v>
      </c>
      <c r="E84" s="37">
        <f t="shared" si="29"/>
        <v>9.4197857973445293E-2</v>
      </c>
      <c r="F84" s="37">
        <f t="shared" si="30"/>
        <v>0.10427474866396245</v>
      </c>
      <c r="G84" s="37">
        <f t="shared" si="31"/>
        <v>0.40202841212289581</v>
      </c>
      <c r="H84" s="37">
        <f t="shared" si="32"/>
        <v>0.46114484592081728</v>
      </c>
      <c r="I84" s="37">
        <f t="shared" si="33"/>
        <v>0.31073124568580129</v>
      </c>
      <c r="K84" s="37">
        <f t="shared" si="26"/>
        <v>1.2781792523934767</v>
      </c>
    </row>
    <row r="85" spans="1:11">
      <c r="A85" t="s">
        <v>75</v>
      </c>
      <c r="B85" s="3" t="s">
        <v>11</v>
      </c>
      <c r="C85" s="37">
        <f t="shared" si="27"/>
        <v>3.2167721178160179E-3</v>
      </c>
      <c r="D85" s="37">
        <f t="shared" si="28"/>
        <v>1.6375499101277519E-2</v>
      </c>
      <c r="E85" s="37">
        <f t="shared" si="29"/>
        <v>3.8721438259688352E-3</v>
      </c>
      <c r="F85" s="37">
        <f t="shared" si="30"/>
        <v>4.2863694879074375E-3</v>
      </c>
      <c r="G85" s="37">
        <f t="shared" si="31"/>
        <v>7.1040190030319849E-3</v>
      </c>
      <c r="H85" s="37">
        <f t="shared" si="32"/>
        <v>5.0917738641391456E-3</v>
      </c>
      <c r="I85" s="37">
        <f t="shared" si="33"/>
        <v>1.0599464304539412E-2</v>
      </c>
      <c r="K85" s="37">
        <f t="shared" si="26"/>
        <v>2.7081626659617983E-2</v>
      </c>
    </row>
    <row r="86" spans="1:11">
      <c r="A86" t="s">
        <v>75</v>
      </c>
      <c r="B86" s="3" t="s">
        <v>12</v>
      </c>
      <c r="C86" s="37">
        <f t="shared" si="27"/>
        <v>2.2215832438666875E-2</v>
      </c>
      <c r="D86" s="37">
        <f t="shared" si="28"/>
        <v>9.8699519377801762E-2</v>
      </c>
      <c r="E86" s="37">
        <f t="shared" si="29"/>
        <v>0.21444437570453581</v>
      </c>
      <c r="F86" s="37">
        <f t="shared" si="30"/>
        <v>3.3085414484785539E-2</v>
      </c>
      <c r="G86" s="37">
        <f t="shared" si="31"/>
        <v>5.3553374022856495E-2</v>
      </c>
      <c r="H86" s="37">
        <f t="shared" si="32"/>
        <v>3.1399272162191405E-2</v>
      </c>
      <c r="I86" s="37">
        <f t="shared" si="33"/>
        <v>9.2366760368129158E-2</v>
      </c>
      <c r="K86" s="37">
        <f t="shared" si="26"/>
        <v>0.2104048210379626</v>
      </c>
    </row>
    <row r="87" spans="1:11">
      <c r="A87" t="s">
        <v>75</v>
      </c>
      <c r="B87" s="3" t="s">
        <v>13</v>
      </c>
      <c r="C87" s="37">
        <f t="shared" si="27"/>
        <v>0</v>
      </c>
      <c r="D87" s="37">
        <f t="shared" si="28"/>
        <v>0</v>
      </c>
      <c r="E87" s="37">
        <f t="shared" si="29"/>
        <v>0.11347930571440784</v>
      </c>
      <c r="F87" s="37">
        <f t="shared" si="30"/>
        <v>0</v>
      </c>
      <c r="G87" s="37">
        <f t="shared" si="31"/>
        <v>0</v>
      </c>
      <c r="H87" s="37">
        <f t="shared" si="32"/>
        <v>0</v>
      </c>
      <c r="I87" s="37">
        <f t="shared" si="33"/>
        <v>0</v>
      </c>
      <c r="K87" s="37">
        <f t="shared" si="26"/>
        <v>0</v>
      </c>
    </row>
    <row r="88" spans="1:11">
      <c r="B88" s="1"/>
      <c r="C88" s="38">
        <f>SUM(I77:I87)</f>
        <v>1</v>
      </c>
      <c r="D88" s="38">
        <f>SUM(F77:F87)</f>
        <v>1</v>
      </c>
      <c r="E88" s="38">
        <f>SUM(E77:E87)</f>
        <v>1</v>
      </c>
      <c r="F88" s="38">
        <f>SUM(C77:C87)</f>
        <v>0.99999999999999989</v>
      </c>
      <c r="G88" s="38">
        <f>SUM(D77:D87)</f>
        <v>1.0000000000000002</v>
      </c>
      <c r="H88" s="38">
        <f>SUM(G77:G87)</f>
        <v>1</v>
      </c>
      <c r="I88" s="38">
        <f>SUM(H77:H87)</f>
        <v>1</v>
      </c>
      <c r="K88" s="37"/>
    </row>
    <row r="89" spans="1:11">
      <c r="B89" s="1"/>
      <c r="C89" s="37"/>
      <c r="D89" s="37"/>
      <c r="E89" s="37"/>
      <c r="F89" s="37"/>
      <c r="G89" s="37"/>
      <c r="H89" s="37"/>
      <c r="I89" s="37"/>
      <c r="K89" s="37"/>
    </row>
    <row r="90" spans="1:11">
      <c r="B90" s="39"/>
      <c r="C90" s="40" t="s">
        <v>14</v>
      </c>
      <c r="D90" s="40" t="s">
        <v>19</v>
      </c>
      <c r="E90" s="40" t="s">
        <v>23</v>
      </c>
      <c r="F90" s="40" t="s">
        <v>22</v>
      </c>
      <c r="G90" s="40" t="s">
        <v>69</v>
      </c>
      <c r="H90" s="40" t="s">
        <v>70</v>
      </c>
      <c r="I90" s="40" t="s">
        <v>71</v>
      </c>
      <c r="J90" s="39"/>
      <c r="K90" s="39"/>
    </row>
    <row r="91" spans="1:11">
      <c r="B91" s="40" t="s">
        <v>75</v>
      </c>
      <c r="C91" s="41">
        <f>SUM(E68:E73)</f>
        <v>3142.0814948240168</v>
      </c>
      <c r="D91" s="41">
        <f>SUM(F68:F73)</f>
        <v>1264.346</v>
      </c>
      <c r="E91" s="41">
        <f>SUM(D68:D73)</f>
        <v>2062.7134603174609</v>
      </c>
      <c r="F91" s="41">
        <f>SUM(C68:C73)</f>
        <v>1274.846</v>
      </c>
      <c r="G91" s="41">
        <f>SUM(G68:G73)</f>
        <v>2539.1510901401002</v>
      </c>
      <c r="H91" s="41">
        <f>SUM(H68:H73)-C96</f>
        <v>1576.7662807017543</v>
      </c>
      <c r="I91" s="41">
        <f>SUM(I68:I73)</f>
        <v>896.06057142857151</v>
      </c>
      <c r="J91" s="39"/>
      <c r="K91" s="39"/>
    </row>
    <row r="92" spans="1:11">
      <c r="B92" s="1" t="s">
        <v>5</v>
      </c>
      <c r="C92" s="41">
        <f>SUM(E63)</f>
        <v>0</v>
      </c>
      <c r="D92" s="41">
        <f>SUM(F63)</f>
        <v>1067.8399999999999</v>
      </c>
      <c r="E92" s="41">
        <f>SUM(D63)</f>
        <v>1529.4616666666666</v>
      </c>
      <c r="F92" s="41">
        <f>SUM(C63)</f>
        <v>2114.5090909090904</v>
      </c>
      <c r="G92" s="41">
        <f>SUM(G63)</f>
        <v>997.02</v>
      </c>
      <c r="H92" s="41">
        <f>SUM(H63)+C96</f>
        <v>891.6</v>
      </c>
      <c r="I92" s="41">
        <f>SUM(I63)</f>
        <v>200.57142857142856</v>
      </c>
      <c r="J92" s="39"/>
      <c r="K92" s="39"/>
    </row>
    <row r="93" spans="1:11">
      <c r="B93" s="40" t="s">
        <v>74</v>
      </c>
      <c r="C93" s="41">
        <f>SUM(E65:E67)</f>
        <v>1907.866</v>
      </c>
      <c r="D93" s="41">
        <f>SUM(F65:F67)</f>
        <v>2090.366</v>
      </c>
      <c r="E93" s="41">
        <f>SUM(D65:D67)</f>
        <v>1935.761</v>
      </c>
      <c r="F93" s="41">
        <f>SUM(C65:C67)</f>
        <v>2439.366</v>
      </c>
      <c r="G93" s="41">
        <f>SUM(G65:G67)</f>
        <v>471.34090909090907</v>
      </c>
      <c r="H93" s="41">
        <f>SUM(H65:H67)</f>
        <v>281.16666666666669</v>
      </c>
      <c r="I93" s="41">
        <f>SUM(I65:I67)</f>
        <v>197.42857142857144</v>
      </c>
    </row>
    <row r="94" spans="1:11">
      <c r="B94" s="40" t="s">
        <v>79</v>
      </c>
      <c r="C94" s="41">
        <f>E64</f>
        <v>1148.1693827160493</v>
      </c>
      <c r="D94" s="41">
        <f>F64</f>
        <v>1176.5919999999999</v>
      </c>
      <c r="E94" s="41">
        <f>D64</f>
        <v>985.86024691358034</v>
      </c>
      <c r="F94" s="41">
        <f>C64</f>
        <v>1632.1742168674698</v>
      </c>
      <c r="G94" s="41">
        <f>G64</f>
        <v>215.44967741935486</v>
      </c>
      <c r="H94" s="41">
        <f>H64</f>
        <v>0</v>
      </c>
      <c r="I94" s="41">
        <f>I64</f>
        <v>215.44967741935486</v>
      </c>
    </row>
    <row r="95" spans="1:11">
      <c r="B95" s="3"/>
    </row>
    <row r="96" spans="1:11">
      <c r="B96" s="40" t="s">
        <v>77</v>
      </c>
      <c r="C96">
        <f>3*25*1.5</f>
        <v>112.5</v>
      </c>
      <c r="E96" t="s">
        <v>78</v>
      </c>
    </row>
    <row r="97" spans="2:2">
      <c r="B97" s="3"/>
    </row>
    <row r="98" spans="2:2">
      <c r="B98" s="3"/>
    </row>
    <row r="99" spans="2:2">
      <c r="B99" s="3"/>
    </row>
    <row r="100" spans="2:2">
      <c r="B100" s="3"/>
    </row>
    <row r="101" spans="2:2">
      <c r="B101" s="3"/>
    </row>
    <row r="102" spans="2:2">
      <c r="B102" s="3"/>
    </row>
    <row r="103" spans="2:2">
      <c r="B103" s="3"/>
    </row>
    <row r="104" spans="2:2">
      <c r="B104" s="3"/>
    </row>
    <row r="105" spans="2:2">
      <c r="B105" s="3"/>
    </row>
    <row r="106" spans="2:2">
      <c r="B106" s="3"/>
    </row>
    <row r="107" spans="2:2">
      <c r="B107" s="3"/>
    </row>
    <row r="108" spans="2:2">
      <c r="B108" s="3"/>
    </row>
    <row r="109" spans="2:2">
      <c r="B109" s="3"/>
    </row>
    <row r="110" spans="2:2">
      <c r="B110" s="3"/>
    </row>
    <row r="111" spans="2:2">
      <c r="B111" s="3"/>
    </row>
    <row r="112" spans="2:2">
      <c r="B112" s="3"/>
    </row>
    <row r="113" spans="2:13">
      <c r="B113" s="3"/>
    </row>
    <row r="114" spans="2:13">
      <c r="B114" s="3"/>
    </row>
    <row r="118" spans="2:13">
      <c r="B118" t="s">
        <v>72</v>
      </c>
    </row>
    <row r="120" spans="2:13">
      <c r="B120" t="s">
        <v>57</v>
      </c>
      <c r="C120" t="s">
        <v>55</v>
      </c>
      <c r="D120" t="s">
        <v>54</v>
      </c>
      <c r="E120" t="s">
        <v>61</v>
      </c>
      <c r="F120" s="23" t="s">
        <v>0</v>
      </c>
      <c r="G120" s="32" t="s">
        <v>1</v>
      </c>
      <c r="H120" s="32" t="s">
        <v>2</v>
      </c>
      <c r="I120" s="32" t="s">
        <v>3</v>
      </c>
      <c r="J120" s="32" t="s">
        <v>16</v>
      </c>
      <c r="K120" s="32" t="s">
        <v>4</v>
      </c>
      <c r="L120" s="32" t="s">
        <v>17</v>
      </c>
      <c r="M120" s="32" t="s">
        <v>50</v>
      </c>
    </row>
    <row r="121" spans="2:13">
      <c r="B121" t="s">
        <v>51</v>
      </c>
      <c r="C121" t="s">
        <v>51</v>
      </c>
      <c r="D121" t="s">
        <v>51</v>
      </c>
      <c r="E121" t="s">
        <v>51</v>
      </c>
      <c r="F121" t="s">
        <v>51</v>
      </c>
      <c r="G121" t="s">
        <v>52</v>
      </c>
      <c r="H121" t="s">
        <v>53</v>
      </c>
      <c r="I121" t="s">
        <v>52</v>
      </c>
      <c r="J121" t="s">
        <v>52</v>
      </c>
      <c r="K121" t="s">
        <v>52</v>
      </c>
      <c r="L121" t="s">
        <v>53</v>
      </c>
      <c r="M121" t="s">
        <v>53</v>
      </c>
    </row>
    <row r="122" spans="2:13">
      <c r="B122" t="s">
        <v>58</v>
      </c>
      <c r="C122" t="s">
        <v>14</v>
      </c>
      <c r="D122" t="s">
        <v>56</v>
      </c>
      <c r="E122" t="s">
        <v>62</v>
      </c>
      <c r="F122" s="3" t="s">
        <v>5</v>
      </c>
      <c r="G122" s="23">
        <v>0</v>
      </c>
      <c r="H122" s="16">
        <v>0</v>
      </c>
      <c r="I122" s="23">
        <v>0</v>
      </c>
      <c r="J122" s="24">
        <v>0</v>
      </c>
      <c r="K122" s="24">
        <v>0</v>
      </c>
      <c r="L122" s="16">
        <f>G122*H122</f>
        <v>0</v>
      </c>
      <c r="M122" s="16">
        <f t="shared" ref="M122:M132" si="34">L122/SUM($L$122:$L$132)</f>
        <v>0</v>
      </c>
    </row>
    <row r="123" spans="2:13">
      <c r="B123" t="s">
        <v>58</v>
      </c>
      <c r="C123" t="s">
        <v>14</v>
      </c>
      <c r="D123" t="s">
        <v>56</v>
      </c>
      <c r="E123" t="s">
        <v>62</v>
      </c>
      <c r="F123" s="3" t="s">
        <v>21</v>
      </c>
      <c r="G123" s="23">
        <v>31</v>
      </c>
      <c r="H123" s="16">
        <v>3.5</v>
      </c>
      <c r="I123" s="23">
        <v>1</v>
      </c>
      <c r="J123" s="24">
        <v>0</v>
      </c>
      <c r="K123" s="24">
        <v>2</v>
      </c>
      <c r="L123" s="16">
        <f t="shared" ref="L123:L129" si="35">G123*H123</f>
        <v>108.5</v>
      </c>
      <c r="M123" s="16">
        <f t="shared" si="34"/>
        <v>1.7498567672173979E-2</v>
      </c>
    </row>
    <row r="124" spans="2:13">
      <c r="B124" t="s">
        <v>58</v>
      </c>
      <c r="C124" t="s">
        <v>14</v>
      </c>
      <c r="D124" t="s">
        <v>56</v>
      </c>
      <c r="E124" t="s">
        <v>62</v>
      </c>
      <c r="F124" s="3" t="s">
        <v>49</v>
      </c>
      <c r="G124" s="23">
        <v>926</v>
      </c>
      <c r="H124" s="16">
        <v>1.9410000000000001</v>
      </c>
      <c r="I124" s="23">
        <v>9</v>
      </c>
      <c r="J124" s="23">
        <v>4</v>
      </c>
      <c r="K124" s="23">
        <v>83</v>
      </c>
      <c r="L124" s="16">
        <f t="shared" si="35"/>
        <v>1797.366</v>
      </c>
      <c r="M124" s="16">
        <f t="shared" si="34"/>
        <v>0.28987401458677103</v>
      </c>
    </row>
    <row r="125" spans="2:13">
      <c r="B125" t="s">
        <v>58</v>
      </c>
      <c r="C125" t="s">
        <v>14</v>
      </c>
      <c r="D125" t="s">
        <v>56</v>
      </c>
      <c r="E125" t="s">
        <v>62</v>
      </c>
      <c r="F125" s="3" t="s">
        <v>7</v>
      </c>
      <c r="G125" s="23">
        <v>2</v>
      </c>
      <c r="H125" s="16">
        <v>1</v>
      </c>
      <c r="I125" s="23">
        <v>3</v>
      </c>
      <c r="J125" s="23">
        <v>1</v>
      </c>
      <c r="K125" s="23">
        <v>2</v>
      </c>
      <c r="L125" s="16">
        <f t="shared" si="35"/>
        <v>2</v>
      </c>
      <c r="M125" s="16">
        <f t="shared" si="34"/>
        <v>3.2255424280505033E-4</v>
      </c>
    </row>
    <row r="126" spans="2:13">
      <c r="B126" t="s">
        <v>58</v>
      </c>
      <c r="C126" t="s">
        <v>14</v>
      </c>
      <c r="D126" t="s">
        <v>56</v>
      </c>
      <c r="E126" t="s">
        <v>63</v>
      </c>
      <c r="F126" s="3" t="s">
        <v>9</v>
      </c>
      <c r="G126" s="23">
        <v>118</v>
      </c>
      <c r="H126" s="16">
        <v>1.31</v>
      </c>
      <c r="I126" s="23">
        <v>1</v>
      </c>
      <c r="J126" s="23">
        <v>1</v>
      </c>
      <c r="K126" s="23">
        <v>16</v>
      </c>
      <c r="L126" s="16">
        <f t="shared" si="35"/>
        <v>154.58000000000001</v>
      </c>
      <c r="M126" s="16">
        <f t="shared" si="34"/>
        <v>2.4930217426402342E-2</v>
      </c>
    </row>
    <row r="127" spans="2:13">
      <c r="B127" t="s">
        <v>58</v>
      </c>
      <c r="C127" t="s">
        <v>14</v>
      </c>
      <c r="D127" t="s">
        <v>56</v>
      </c>
      <c r="E127" t="s">
        <v>63</v>
      </c>
      <c r="F127" s="3" t="s">
        <v>10</v>
      </c>
      <c r="G127" s="23">
        <f>(10+12+12)+(16+18+21+1)</f>
        <v>90</v>
      </c>
      <c r="H127" s="16">
        <f>AVERAGE(3,3,3,6,5,6,1)</f>
        <v>3.8571428571428572</v>
      </c>
      <c r="I127" s="24">
        <v>3</v>
      </c>
      <c r="J127" s="24">
        <v>1</v>
      </c>
      <c r="K127" s="24">
        <v>7</v>
      </c>
      <c r="L127" s="16">
        <f t="shared" si="35"/>
        <v>347.14285714285717</v>
      </c>
      <c r="M127" s="16">
        <f t="shared" si="34"/>
        <v>5.598620071544802E-2</v>
      </c>
    </row>
    <row r="128" spans="2:13">
      <c r="B128" t="s">
        <v>58</v>
      </c>
      <c r="C128" t="s">
        <v>14</v>
      </c>
      <c r="D128" t="s">
        <v>56</v>
      </c>
      <c r="E128" t="s">
        <v>63</v>
      </c>
      <c r="F128" s="3" t="s">
        <v>24</v>
      </c>
      <c r="G128" s="23">
        <f>(1+1+14+7+6+6+6+9+13+7+9+1+1+6)+18+18+52+62+40+5+7+7+9+8</f>
        <v>313</v>
      </c>
      <c r="H128" s="16">
        <f>(AVERAGE(1,1,3,2,2,2,2,3,3,2,3,1,1,2)*14+1.1*10+10*1+6*1.16)/K128</f>
        <v>1.8653333333333333</v>
      </c>
      <c r="I128" s="23">
        <v>4</v>
      </c>
      <c r="J128" s="23">
        <v>5</v>
      </c>
      <c r="K128" s="23">
        <v>30</v>
      </c>
      <c r="L128" s="16">
        <f t="shared" si="35"/>
        <v>583.84933333333333</v>
      </c>
      <c r="M128" s="16">
        <f t="shared" si="34"/>
        <v>9.4161539812783385E-2</v>
      </c>
    </row>
    <row r="129" spans="2:13">
      <c r="B129" t="s">
        <v>58</v>
      </c>
      <c r="C129" t="s">
        <v>14</v>
      </c>
      <c r="D129" t="s">
        <v>56</v>
      </c>
      <c r="E129" t="s">
        <v>63</v>
      </c>
      <c r="F129" s="3" t="s">
        <v>11</v>
      </c>
      <c r="G129" s="23">
        <v>8</v>
      </c>
      <c r="H129" s="16">
        <v>3</v>
      </c>
      <c r="I129" s="24">
        <v>3</v>
      </c>
      <c r="J129" s="24">
        <v>1</v>
      </c>
      <c r="K129" s="24">
        <v>1</v>
      </c>
      <c r="L129" s="16">
        <f t="shared" si="35"/>
        <v>24</v>
      </c>
      <c r="M129" s="16">
        <f t="shared" si="34"/>
        <v>3.870650913660604E-3</v>
      </c>
    </row>
    <row r="130" spans="2:13">
      <c r="B130" t="s">
        <v>58</v>
      </c>
      <c r="C130" t="s">
        <v>14</v>
      </c>
      <c r="D130" t="s">
        <v>56</v>
      </c>
      <c r="E130" t="s">
        <v>63</v>
      </c>
      <c r="F130" s="3" t="s">
        <v>12</v>
      </c>
      <c r="G130" s="23">
        <f>(1+1+1)+(11+13+12)+7+117+5+6+186</f>
        <v>360</v>
      </c>
      <c r="H130" s="16">
        <f>(AVERAGE(4,3,5)*3+1+12*2.66+7*5.714)/K130</f>
        <v>3.6920869565217393</v>
      </c>
      <c r="I130" s="24">
        <v>4</v>
      </c>
      <c r="J130" s="24">
        <v>2</v>
      </c>
      <c r="K130" s="24">
        <f>16+7</f>
        <v>23</v>
      </c>
      <c r="L130" s="16">
        <f>G130*H130</f>
        <v>1329.1513043478262</v>
      </c>
      <c r="M130" s="16">
        <f t="shared" si="34"/>
        <v>0.21436169627362903</v>
      </c>
    </row>
    <row r="131" spans="2:13">
      <c r="B131" t="s">
        <v>58</v>
      </c>
      <c r="C131" t="s">
        <v>14</v>
      </c>
      <c r="D131" t="s">
        <v>56</v>
      </c>
      <c r="E131" t="s">
        <v>63</v>
      </c>
      <c r="F131" s="3" t="s">
        <v>13</v>
      </c>
      <c r="G131" s="23">
        <v>274</v>
      </c>
      <c r="H131" s="16">
        <v>2.5670000000000002</v>
      </c>
      <c r="I131" s="24">
        <v>3</v>
      </c>
      <c r="J131" s="24">
        <v>2</v>
      </c>
      <c r="K131" s="24">
        <v>29</v>
      </c>
      <c r="L131" s="16">
        <f>G131*H131</f>
        <v>703.35800000000006</v>
      </c>
      <c r="M131" s="16">
        <f t="shared" si="34"/>
        <v>0.1134355535554373</v>
      </c>
    </row>
    <row r="132" spans="2:13">
      <c r="B132" t="s">
        <v>58</v>
      </c>
      <c r="C132" t="s">
        <v>14</v>
      </c>
      <c r="D132" t="s">
        <v>56</v>
      </c>
      <c r="E132" t="s">
        <v>62</v>
      </c>
      <c r="F132" s="3" t="s">
        <v>8</v>
      </c>
      <c r="G132" s="23">
        <v>564</v>
      </c>
      <c r="H132" s="16">
        <v>2.04</v>
      </c>
      <c r="I132" s="23"/>
      <c r="J132" s="23"/>
      <c r="K132" s="23"/>
      <c r="L132" s="16">
        <f>G132*H132</f>
        <v>1150.56</v>
      </c>
      <c r="M132" s="16">
        <f t="shared" si="34"/>
        <v>0.18555900480088933</v>
      </c>
    </row>
    <row r="133" spans="2:13">
      <c r="B133" t="s">
        <v>58</v>
      </c>
      <c r="C133" t="s">
        <v>19</v>
      </c>
      <c r="D133" t="s">
        <v>56</v>
      </c>
      <c r="E133" t="s">
        <v>62</v>
      </c>
      <c r="F133" s="23" t="s">
        <v>5</v>
      </c>
      <c r="G133" s="23">
        <f>117+41+197</f>
        <v>355</v>
      </c>
      <c r="H133" s="23">
        <f>(12*2.6+2*1+7*6)/K133</f>
        <v>3.008</v>
      </c>
      <c r="I133" s="23">
        <v>3</v>
      </c>
      <c r="J133" s="23">
        <v>0</v>
      </c>
      <c r="K133" s="23">
        <v>25</v>
      </c>
      <c r="L133" s="16">
        <f t="shared" ref="L133:L142" si="36">G133*H133</f>
        <v>1067.8399999999999</v>
      </c>
      <c r="M133" s="16">
        <f t="shared" ref="M133:M143" si="37">L133/SUM($L$133:$L$143)</f>
        <v>0.19067372907988639</v>
      </c>
    </row>
    <row r="134" spans="2:13">
      <c r="B134" t="s">
        <v>58</v>
      </c>
      <c r="C134" t="s">
        <v>19</v>
      </c>
      <c r="D134" t="s">
        <v>56</v>
      </c>
      <c r="E134" t="s">
        <v>62</v>
      </c>
      <c r="F134" s="23" t="s">
        <v>21</v>
      </c>
      <c r="G134" s="23">
        <f>31+(5+6+4)+51</f>
        <v>97</v>
      </c>
      <c r="H134" s="24">
        <f>(2*3.5+3*2+2*4)/K134</f>
        <v>3</v>
      </c>
      <c r="I134" s="24">
        <v>3</v>
      </c>
      <c r="J134" s="24">
        <v>0</v>
      </c>
      <c r="K134" s="24">
        <v>7</v>
      </c>
      <c r="L134" s="16">
        <f t="shared" si="36"/>
        <v>291</v>
      </c>
      <c r="M134" s="16">
        <f t="shared" si="37"/>
        <v>5.1961019593054152E-2</v>
      </c>
    </row>
    <row r="135" spans="2:13">
      <c r="B135" t="s">
        <v>58</v>
      </c>
      <c r="C135" t="s">
        <v>19</v>
      </c>
      <c r="D135" t="s">
        <v>56</v>
      </c>
      <c r="E135" t="s">
        <v>62</v>
      </c>
      <c r="F135" s="23" t="s">
        <v>49</v>
      </c>
      <c r="G135" s="23">
        <v>926</v>
      </c>
      <c r="H135" s="16">
        <v>1.9410000000000001</v>
      </c>
      <c r="I135" s="23">
        <v>9</v>
      </c>
      <c r="J135" s="23">
        <v>4</v>
      </c>
      <c r="K135" s="23">
        <v>83</v>
      </c>
      <c r="L135" s="16">
        <f t="shared" si="36"/>
        <v>1797.366</v>
      </c>
      <c r="M135" s="16">
        <f t="shared" si="37"/>
        <v>0.32093804103742052</v>
      </c>
    </row>
    <row r="136" spans="2:13">
      <c r="B136" t="s">
        <v>58</v>
      </c>
      <c r="C136" t="s">
        <v>19</v>
      </c>
      <c r="D136" t="s">
        <v>56</v>
      </c>
      <c r="E136" t="s">
        <v>62</v>
      </c>
      <c r="F136" s="23" t="s">
        <v>7</v>
      </c>
      <c r="G136" s="23">
        <v>2</v>
      </c>
      <c r="H136" s="16">
        <v>1</v>
      </c>
      <c r="I136" s="23">
        <v>3</v>
      </c>
      <c r="J136" s="23">
        <v>1</v>
      </c>
      <c r="K136" s="23">
        <v>2</v>
      </c>
      <c r="L136" s="16">
        <f t="shared" si="36"/>
        <v>2</v>
      </c>
      <c r="M136" s="16">
        <f t="shared" si="37"/>
        <v>3.5712040957425537E-4</v>
      </c>
    </row>
    <row r="137" spans="2:13">
      <c r="B137" t="s">
        <v>58</v>
      </c>
      <c r="C137" t="s">
        <v>19</v>
      </c>
      <c r="D137" t="s">
        <v>56</v>
      </c>
      <c r="E137" t="s">
        <v>63</v>
      </c>
      <c r="F137" s="23" t="s">
        <v>9</v>
      </c>
      <c r="G137" s="23">
        <v>118</v>
      </c>
      <c r="H137" s="16">
        <v>1.31</v>
      </c>
      <c r="I137" s="23">
        <v>1</v>
      </c>
      <c r="J137" s="23">
        <v>1</v>
      </c>
      <c r="K137" s="23">
        <v>16</v>
      </c>
      <c r="L137" s="16">
        <f t="shared" si="36"/>
        <v>154.58000000000001</v>
      </c>
      <c r="M137" s="16">
        <f t="shared" si="37"/>
        <v>2.7601836455994198E-2</v>
      </c>
    </row>
    <row r="138" spans="2:13">
      <c r="B138" t="s">
        <v>58</v>
      </c>
      <c r="C138" t="s">
        <v>19</v>
      </c>
      <c r="D138" t="s">
        <v>56</v>
      </c>
      <c r="E138" t="s">
        <v>63</v>
      </c>
      <c r="F138" s="23" t="s">
        <v>10</v>
      </c>
      <c r="G138" s="23">
        <f>(10+12+12)+(16+18+21+1)+(2+3)</f>
        <v>95</v>
      </c>
      <c r="H138" s="16">
        <f>AVERAGE(3,3,3,6,5,6,1,1,2)</f>
        <v>3.3333333333333335</v>
      </c>
      <c r="I138" s="24">
        <v>4</v>
      </c>
      <c r="J138" s="24">
        <v>1</v>
      </c>
      <c r="K138" s="24">
        <v>9</v>
      </c>
      <c r="L138" s="16">
        <f t="shared" si="36"/>
        <v>316.66666666666669</v>
      </c>
      <c r="M138" s="16">
        <f t="shared" si="37"/>
        <v>5.65440648492571E-2</v>
      </c>
    </row>
    <row r="139" spans="2:13">
      <c r="B139" t="s">
        <v>58</v>
      </c>
      <c r="C139" t="s">
        <v>19</v>
      </c>
      <c r="D139" t="s">
        <v>56</v>
      </c>
      <c r="E139" t="s">
        <v>63</v>
      </c>
      <c r="F139" s="23" t="s">
        <v>24</v>
      </c>
      <c r="G139" s="23">
        <f>(1+1+14+7+6+6+6+9+13+7+9+1+1+6)+18+18+52+62+40+5+7+7+9+8</f>
        <v>313</v>
      </c>
      <c r="H139" s="16">
        <f>(AVERAGE(1,1,3,2,2,2,2,3,3,2,3,1,1,2)*14+1.1*10+10*1+6*1.16)/K139</f>
        <v>1.8653333333333333</v>
      </c>
      <c r="I139" s="23">
        <v>4</v>
      </c>
      <c r="J139" s="23">
        <v>5</v>
      </c>
      <c r="K139" s="23">
        <v>30</v>
      </c>
      <c r="L139" s="16">
        <f t="shared" si="36"/>
        <v>583.84933333333333</v>
      </c>
      <c r="M139" s="16">
        <f t="shared" si="37"/>
        <v>0.10425225652482796</v>
      </c>
    </row>
    <row r="140" spans="2:13">
      <c r="B140" t="s">
        <v>58</v>
      </c>
      <c r="C140" t="s">
        <v>19</v>
      </c>
      <c r="D140" t="s">
        <v>56</v>
      </c>
      <c r="E140" t="s">
        <v>63</v>
      </c>
      <c r="F140" s="23" t="s">
        <v>11</v>
      </c>
      <c r="G140" s="23">
        <v>8</v>
      </c>
      <c r="H140" s="24">
        <v>3</v>
      </c>
      <c r="I140" s="24">
        <v>3</v>
      </c>
      <c r="J140" s="24">
        <v>1</v>
      </c>
      <c r="K140" s="24">
        <v>1</v>
      </c>
      <c r="L140" s="16">
        <f t="shared" si="36"/>
        <v>24</v>
      </c>
      <c r="M140" s="16">
        <f t="shared" si="37"/>
        <v>4.2854449148910642E-3</v>
      </c>
    </row>
    <row r="141" spans="2:13">
      <c r="B141" t="s">
        <v>58</v>
      </c>
      <c r="C141" t="s">
        <v>19</v>
      </c>
      <c r="D141" t="s">
        <v>56</v>
      </c>
      <c r="E141" t="s">
        <v>63</v>
      </c>
      <c r="F141" s="23" t="s">
        <v>12</v>
      </c>
      <c r="G141" s="23">
        <f>(1+1+1)+(11+13+12)+7+5+6</f>
        <v>57</v>
      </c>
      <c r="H141" s="16">
        <f>AVERAGE(4,3,5,1)</f>
        <v>3.25</v>
      </c>
      <c r="I141" s="24">
        <v>3</v>
      </c>
      <c r="J141" s="24">
        <v>2</v>
      </c>
      <c r="K141" s="24">
        <v>4</v>
      </c>
      <c r="L141" s="16">
        <f t="shared" si="36"/>
        <v>185.25</v>
      </c>
      <c r="M141" s="16">
        <f t="shared" si="37"/>
        <v>3.3078277936815399E-2</v>
      </c>
    </row>
    <row r="142" spans="2:13">
      <c r="B142" t="s">
        <v>58</v>
      </c>
      <c r="C142" t="s">
        <v>19</v>
      </c>
      <c r="D142" t="s">
        <v>56</v>
      </c>
      <c r="E142" t="s">
        <v>63</v>
      </c>
      <c r="F142" s="23" t="s">
        <v>13</v>
      </c>
      <c r="G142" s="23">
        <v>0</v>
      </c>
      <c r="H142" s="24">
        <v>0</v>
      </c>
      <c r="I142" s="24">
        <v>0</v>
      </c>
      <c r="J142" s="24">
        <v>0</v>
      </c>
      <c r="K142" s="24">
        <v>0</v>
      </c>
      <c r="L142" s="16">
        <f t="shared" si="36"/>
        <v>0</v>
      </c>
      <c r="M142" s="16">
        <f t="shared" si="37"/>
        <v>0</v>
      </c>
    </row>
    <row r="143" spans="2:13">
      <c r="B143" t="s">
        <v>58</v>
      </c>
      <c r="C143" t="s">
        <v>19</v>
      </c>
      <c r="D143" t="s">
        <v>56</v>
      </c>
      <c r="E143" t="s">
        <v>62</v>
      </c>
      <c r="F143" s="23" t="s">
        <v>8</v>
      </c>
      <c r="G143" s="23">
        <v>604</v>
      </c>
      <c r="H143" s="16">
        <v>1.95</v>
      </c>
      <c r="I143" s="23"/>
      <c r="J143" s="23"/>
      <c r="K143" s="23"/>
      <c r="L143" s="16">
        <f>G143*H143</f>
        <v>1177.8</v>
      </c>
      <c r="M143" s="16">
        <f t="shared" si="37"/>
        <v>0.21030820919827897</v>
      </c>
    </row>
    <row r="144" spans="2:13">
      <c r="B144" t="s">
        <v>58</v>
      </c>
      <c r="C144" t="s">
        <v>22</v>
      </c>
      <c r="D144" t="s">
        <v>56</v>
      </c>
      <c r="E144" t="s">
        <v>62</v>
      </c>
      <c r="F144" s="23" t="s">
        <v>5</v>
      </c>
      <c r="G144" s="23">
        <f>104+216+177</f>
        <v>497</v>
      </c>
      <c r="H144" s="16">
        <f>(2*8+8*5.8+12*2.6)/K144</f>
        <v>4.254545454545454</v>
      </c>
      <c r="I144" s="23">
        <v>3</v>
      </c>
      <c r="J144" s="23">
        <v>0</v>
      </c>
      <c r="K144" s="23">
        <v>22</v>
      </c>
      <c r="L144" s="16">
        <f t="shared" ref="L144:L153" si="38">G144*H144</f>
        <v>2114.5090909090904</v>
      </c>
      <c r="M144" s="16">
        <f t="shared" ref="M144:M154" si="39">L144/SUM($L$144:$L$154)</f>
        <v>0.28334138868319414</v>
      </c>
    </row>
    <row r="145" spans="2:13">
      <c r="B145" t="s">
        <v>58</v>
      </c>
      <c r="C145" t="s">
        <v>22</v>
      </c>
      <c r="D145" t="s">
        <v>56</v>
      </c>
      <c r="E145" t="s">
        <v>62</v>
      </c>
      <c r="F145" s="23" t="s">
        <v>21</v>
      </c>
      <c r="G145" s="23">
        <f>31+5+92</f>
        <v>128</v>
      </c>
      <c r="H145" s="33">
        <f>(2*3.5+5+2*6.5)/K145</f>
        <v>5</v>
      </c>
      <c r="I145" s="24">
        <v>3</v>
      </c>
      <c r="J145" s="24">
        <v>0</v>
      </c>
      <c r="K145" s="24">
        <v>5</v>
      </c>
      <c r="L145" s="16">
        <f t="shared" si="38"/>
        <v>640</v>
      </c>
      <c r="M145" s="16">
        <f t="shared" si="39"/>
        <v>8.5759143593599499E-2</v>
      </c>
    </row>
    <row r="146" spans="2:13">
      <c r="B146" t="s">
        <v>58</v>
      </c>
      <c r="C146" t="s">
        <v>22</v>
      </c>
      <c r="D146" t="s">
        <v>56</v>
      </c>
      <c r="E146" t="s">
        <v>62</v>
      </c>
      <c r="F146" s="23" t="s">
        <v>49</v>
      </c>
      <c r="G146" s="23">
        <v>926</v>
      </c>
      <c r="H146" s="16">
        <v>1.9410000000000001</v>
      </c>
      <c r="I146" s="23">
        <v>9</v>
      </c>
      <c r="J146" s="23">
        <v>4</v>
      </c>
      <c r="K146" s="23">
        <v>83</v>
      </c>
      <c r="L146" s="16">
        <f t="shared" si="38"/>
        <v>1797.366</v>
      </c>
      <c r="M146" s="16">
        <f t="shared" si="39"/>
        <v>0.2408446388816462</v>
      </c>
    </row>
    <row r="147" spans="2:13">
      <c r="B147" t="s">
        <v>58</v>
      </c>
      <c r="C147" t="s">
        <v>22</v>
      </c>
      <c r="D147" t="s">
        <v>56</v>
      </c>
      <c r="E147" t="s">
        <v>63</v>
      </c>
      <c r="F147" s="23" t="s">
        <v>7</v>
      </c>
      <c r="G147" s="23">
        <v>2</v>
      </c>
      <c r="H147" s="16">
        <v>1</v>
      </c>
      <c r="I147" s="23">
        <v>3</v>
      </c>
      <c r="J147" s="23">
        <v>1</v>
      </c>
      <c r="K147" s="23">
        <v>2</v>
      </c>
      <c r="L147" s="16">
        <f t="shared" si="38"/>
        <v>2</v>
      </c>
      <c r="M147" s="16">
        <f t="shared" si="39"/>
        <v>2.6799732372999844E-4</v>
      </c>
    </row>
    <row r="148" spans="2:13">
      <c r="B148" t="s">
        <v>58</v>
      </c>
      <c r="C148" t="s">
        <v>22</v>
      </c>
      <c r="D148" t="s">
        <v>56</v>
      </c>
      <c r="E148" t="s">
        <v>63</v>
      </c>
      <c r="F148" s="23" t="s">
        <v>9</v>
      </c>
      <c r="G148" s="23">
        <v>118</v>
      </c>
      <c r="H148" s="16">
        <v>1.31</v>
      </c>
      <c r="I148" s="23">
        <v>1</v>
      </c>
      <c r="J148" s="23">
        <v>1</v>
      </c>
      <c r="K148" s="23">
        <v>16</v>
      </c>
      <c r="L148" s="16">
        <f t="shared" si="38"/>
        <v>154.58000000000001</v>
      </c>
      <c r="M148" s="16">
        <f t="shared" si="39"/>
        <v>2.0713513151091583E-2</v>
      </c>
    </row>
    <row r="149" spans="2:13">
      <c r="B149" t="s">
        <v>58</v>
      </c>
      <c r="C149" t="s">
        <v>22</v>
      </c>
      <c r="D149" t="s">
        <v>56</v>
      </c>
      <c r="E149" t="s">
        <v>63</v>
      </c>
      <c r="F149" s="23" t="s">
        <v>10</v>
      </c>
      <c r="G149" s="23">
        <f>(1+1+1)+(10+12+12)+(6)+(16+18+21+1)+(2+3)</f>
        <v>104</v>
      </c>
      <c r="H149" s="16">
        <f>(3*3+(6+5+6+1)+(1+2))/K149</f>
        <v>3.3333333333333335</v>
      </c>
      <c r="I149" s="24">
        <v>4</v>
      </c>
      <c r="J149" s="24">
        <v>1</v>
      </c>
      <c r="K149" s="24">
        <v>9</v>
      </c>
      <c r="L149" s="16">
        <f t="shared" si="38"/>
        <v>346.66666666666669</v>
      </c>
      <c r="M149" s="16">
        <f t="shared" si="39"/>
        <v>4.6452869446533068E-2</v>
      </c>
    </row>
    <row r="150" spans="2:13">
      <c r="B150" t="s">
        <v>58</v>
      </c>
      <c r="C150" t="s">
        <v>22</v>
      </c>
      <c r="D150" t="s">
        <v>56</v>
      </c>
      <c r="E150" t="s">
        <v>63</v>
      </c>
      <c r="F150" s="23" t="s">
        <v>24</v>
      </c>
      <c r="G150" s="23">
        <f>(1+1+14+7+6+6+6+9+13+7+9+1+1+6)+18+18+52+62+40+5+7+7+9+8</f>
        <v>313</v>
      </c>
      <c r="H150" s="16">
        <f>(AVERAGE(1,1,3,2,2,2,2,3,3,2,3,1,1,2)*14+1.1*10+10*1+6*1.16)/K150</f>
        <v>1.8653333333333333</v>
      </c>
      <c r="I150" s="23">
        <v>4</v>
      </c>
      <c r="J150" s="23">
        <v>5</v>
      </c>
      <c r="K150" s="23">
        <v>30</v>
      </c>
      <c r="L150" s="16">
        <f t="shared" si="38"/>
        <v>583.84933333333333</v>
      </c>
      <c r="M150" s="16">
        <f t="shared" si="39"/>
        <v>7.8235029397438552E-2</v>
      </c>
    </row>
    <row r="151" spans="2:13">
      <c r="B151" t="s">
        <v>58</v>
      </c>
      <c r="C151" t="s">
        <v>22</v>
      </c>
      <c r="D151" t="s">
        <v>56</v>
      </c>
      <c r="E151" t="s">
        <v>63</v>
      </c>
      <c r="F151" s="23" t="s">
        <v>11</v>
      </c>
      <c r="G151" s="23">
        <v>8</v>
      </c>
      <c r="H151" s="33">
        <v>3</v>
      </c>
      <c r="I151" s="24">
        <v>3</v>
      </c>
      <c r="J151" s="24">
        <v>1</v>
      </c>
      <c r="K151" s="24">
        <v>1</v>
      </c>
      <c r="L151" s="16">
        <f t="shared" si="38"/>
        <v>24</v>
      </c>
      <c r="M151" s="16">
        <f t="shared" si="39"/>
        <v>3.2159678847599816E-3</v>
      </c>
    </row>
    <row r="152" spans="2:13">
      <c r="B152" t="s">
        <v>58</v>
      </c>
      <c r="C152" t="s">
        <v>22</v>
      </c>
      <c r="D152" t="s">
        <v>56</v>
      </c>
      <c r="E152" t="s">
        <v>63</v>
      </c>
      <c r="F152" s="23" t="s">
        <v>12</v>
      </c>
      <c r="G152" s="23">
        <f>(1+1+1)+(11+13+12)+7+(1+1)+(1+1+1)</f>
        <v>51</v>
      </c>
      <c r="H152" s="16">
        <f>AVERAGE(4,3,5,1)</f>
        <v>3.25</v>
      </c>
      <c r="I152" s="24">
        <v>3</v>
      </c>
      <c r="J152" s="24">
        <v>2</v>
      </c>
      <c r="K152" s="24">
        <v>4</v>
      </c>
      <c r="L152" s="16">
        <f t="shared" si="38"/>
        <v>165.75</v>
      </c>
      <c r="M152" s="16">
        <f t="shared" si="39"/>
        <v>2.2210278204123621E-2</v>
      </c>
    </row>
    <row r="153" spans="2:13">
      <c r="B153" t="s">
        <v>58</v>
      </c>
      <c r="C153" t="s">
        <v>22</v>
      </c>
      <c r="D153" t="s">
        <v>56</v>
      </c>
      <c r="E153" t="s">
        <v>63</v>
      </c>
      <c r="F153" s="23" t="s">
        <v>13</v>
      </c>
      <c r="G153" s="23">
        <v>0</v>
      </c>
      <c r="H153" s="33">
        <v>0</v>
      </c>
      <c r="I153" s="24">
        <v>0</v>
      </c>
      <c r="J153" s="24">
        <v>0</v>
      </c>
      <c r="K153" s="24">
        <v>0</v>
      </c>
      <c r="L153" s="16">
        <f t="shared" si="38"/>
        <v>0</v>
      </c>
      <c r="M153" s="16">
        <f t="shared" si="39"/>
        <v>0</v>
      </c>
    </row>
    <row r="154" spans="2:13">
      <c r="B154" t="s">
        <v>58</v>
      </c>
      <c r="C154" t="s">
        <v>22</v>
      </c>
      <c r="D154" t="s">
        <v>56</v>
      </c>
      <c r="E154" t="s">
        <v>62</v>
      </c>
      <c r="F154" s="23" t="s">
        <v>8</v>
      </c>
      <c r="G154" s="23">
        <v>801</v>
      </c>
      <c r="H154" s="16">
        <v>2.04</v>
      </c>
      <c r="I154" s="23"/>
      <c r="J154" s="23"/>
      <c r="K154" s="23"/>
      <c r="L154" s="16">
        <f>G154*H154</f>
        <v>1634.04</v>
      </c>
      <c r="M154" s="16">
        <f t="shared" si="39"/>
        <v>0.21895917343388333</v>
      </c>
    </row>
    <row r="155" spans="2:13">
      <c r="B155" t="s">
        <v>58</v>
      </c>
      <c r="C155" t="s">
        <v>23</v>
      </c>
      <c r="D155" t="s">
        <v>56</v>
      </c>
      <c r="E155" t="s">
        <v>62</v>
      </c>
      <c r="F155" s="23" t="s">
        <v>5</v>
      </c>
      <c r="G155" s="23">
        <f>177+183+31</f>
        <v>391</v>
      </c>
      <c r="H155" s="16">
        <f>(3*1.33+7*5.85+2*1)/K155</f>
        <v>3.9116666666666666</v>
      </c>
      <c r="I155" s="23">
        <v>3</v>
      </c>
      <c r="J155" s="23">
        <v>0</v>
      </c>
      <c r="K155" s="23">
        <v>12</v>
      </c>
      <c r="L155" s="16">
        <f t="shared" ref="L155:L164" si="40">G155*H155</f>
        <v>1529.4616666666666</v>
      </c>
      <c r="M155" s="16">
        <f t="shared" ref="M155:M165" si="41">L155/SUM($L$155:$L$165)</f>
        <v>0.23484597231664756</v>
      </c>
    </row>
    <row r="156" spans="2:13">
      <c r="B156" t="s">
        <v>58</v>
      </c>
      <c r="C156" t="s">
        <v>23</v>
      </c>
      <c r="D156" t="s">
        <v>56</v>
      </c>
      <c r="E156" t="s">
        <v>62</v>
      </c>
      <c r="F156" s="23" t="s">
        <v>21</v>
      </c>
      <c r="G156" s="23">
        <f>31+(7)+25</f>
        <v>63</v>
      </c>
      <c r="H156" s="24">
        <f>(2*3.5+1*2+3*1.33)/K156</f>
        <v>2.165</v>
      </c>
      <c r="I156" s="24">
        <v>3</v>
      </c>
      <c r="J156" s="24">
        <v>0</v>
      </c>
      <c r="K156" s="24">
        <v>6</v>
      </c>
      <c r="L156" s="16">
        <f t="shared" si="40"/>
        <v>136.39500000000001</v>
      </c>
      <c r="M156" s="16">
        <f t="shared" si="41"/>
        <v>2.0943196611092452E-2</v>
      </c>
    </row>
    <row r="157" spans="2:13">
      <c r="B157" t="s">
        <v>58</v>
      </c>
      <c r="C157" t="s">
        <v>23</v>
      </c>
      <c r="D157" t="s">
        <v>56</v>
      </c>
      <c r="E157" t="s">
        <v>62</v>
      </c>
      <c r="F157" s="23" t="s">
        <v>49</v>
      </c>
      <c r="G157" s="23">
        <v>926</v>
      </c>
      <c r="H157" s="16">
        <v>1.9410000000000001</v>
      </c>
      <c r="I157" s="23">
        <v>9</v>
      </c>
      <c r="J157" s="23">
        <v>4</v>
      </c>
      <c r="K157" s="23">
        <v>83</v>
      </c>
      <c r="L157" s="16">
        <f t="shared" si="40"/>
        <v>1797.366</v>
      </c>
      <c r="M157" s="16">
        <f t="shared" si="41"/>
        <v>0.27598218057914725</v>
      </c>
    </row>
    <row r="158" spans="2:13">
      <c r="B158" t="s">
        <v>58</v>
      </c>
      <c r="C158" t="s">
        <v>23</v>
      </c>
      <c r="D158" t="s">
        <v>56</v>
      </c>
      <c r="E158" t="s">
        <v>62</v>
      </c>
      <c r="F158" s="23" t="s">
        <v>7</v>
      </c>
      <c r="G158" s="23">
        <v>2</v>
      </c>
      <c r="H158" s="16">
        <v>1</v>
      </c>
      <c r="I158" s="23">
        <v>3</v>
      </c>
      <c r="J158" s="23">
        <v>1</v>
      </c>
      <c r="K158" s="23">
        <v>2</v>
      </c>
      <c r="L158" s="16">
        <f t="shared" si="40"/>
        <v>2</v>
      </c>
      <c r="M158" s="16">
        <f t="shared" si="41"/>
        <v>3.0709625149151287E-4</v>
      </c>
    </row>
    <row r="159" spans="2:13">
      <c r="B159" t="s">
        <v>58</v>
      </c>
      <c r="C159" t="s">
        <v>23</v>
      </c>
      <c r="D159" t="s">
        <v>56</v>
      </c>
      <c r="E159" t="s">
        <v>63</v>
      </c>
      <c r="F159" s="23" t="s">
        <v>9</v>
      </c>
      <c r="G159" s="23">
        <f>118+29+47</f>
        <v>194</v>
      </c>
      <c r="H159" s="16">
        <f>(16*1.3+2*2)/K159</f>
        <v>1.3777777777777778</v>
      </c>
      <c r="I159" s="24">
        <v>2</v>
      </c>
      <c r="J159" s="24">
        <v>1</v>
      </c>
      <c r="K159" s="24">
        <v>18</v>
      </c>
      <c r="L159" s="16">
        <f t="shared" si="40"/>
        <v>267.28888888888889</v>
      </c>
      <c r="M159" s="16">
        <f t="shared" si="41"/>
        <v>4.1041707921554635E-2</v>
      </c>
    </row>
    <row r="160" spans="2:13">
      <c r="B160" t="s">
        <v>58</v>
      </c>
      <c r="C160" t="s">
        <v>23</v>
      </c>
      <c r="D160" t="s">
        <v>56</v>
      </c>
      <c r="E160" t="s">
        <v>63</v>
      </c>
      <c r="F160" s="23" t="s">
        <v>10</v>
      </c>
      <c r="G160" s="23">
        <f>13+27+23</f>
        <v>63</v>
      </c>
      <c r="H160" s="16">
        <f>AVERAGE(3,10,9)</f>
        <v>7.333333333333333</v>
      </c>
      <c r="I160" s="24">
        <v>3</v>
      </c>
      <c r="J160" s="24">
        <v>0</v>
      </c>
      <c r="K160" s="24">
        <v>3</v>
      </c>
      <c r="L160" s="16">
        <f t="shared" si="40"/>
        <v>462</v>
      </c>
      <c r="M160" s="16">
        <f t="shared" si="41"/>
        <v>7.0939234094539477E-2</v>
      </c>
    </row>
    <row r="161" spans="2:13">
      <c r="B161" t="s">
        <v>58</v>
      </c>
      <c r="C161" t="s">
        <v>23</v>
      </c>
      <c r="D161" t="s">
        <v>56</v>
      </c>
      <c r="E161" t="s">
        <v>63</v>
      </c>
      <c r="F161" s="23" t="s">
        <v>24</v>
      </c>
      <c r="G161" s="23">
        <f>(1+1+14+7+6+6+6+9+13+7+9+1+1+6)+18+18+52+62+40+5+7+7+9+8</f>
        <v>313</v>
      </c>
      <c r="H161" s="16">
        <f>(AVERAGE(1,1,3,2,2,2,2,3,3,2,3,1,1,2)*14+1.1*10+10*1+6*1.16)/K161</f>
        <v>1.8653333333333333</v>
      </c>
      <c r="I161" s="23">
        <v>4</v>
      </c>
      <c r="J161" s="23">
        <v>5</v>
      </c>
      <c r="K161" s="23">
        <v>30</v>
      </c>
      <c r="L161" s="16">
        <f t="shared" si="40"/>
        <v>583.84933333333333</v>
      </c>
      <c r="M161" s="16">
        <f t="shared" si="41"/>
        <v>8.9648970851242737E-2</v>
      </c>
    </row>
    <row r="162" spans="2:13">
      <c r="B162" t="s">
        <v>58</v>
      </c>
      <c r="C162" t="s">
        <v>23</v>
      </c>
      <c r="D162" t="s">
        <v>56</v>
      </c>
      <c r="E162" t="s">
        <v>63</v>
      </c>
      <c r="F162" s="23" t="s">
        <v>11</v>
      </c>
      <c r="G162" s="23">
        <f>1+1+6+5+19</f>
        <v>32</v>
      </c>
      <c r="H162" s="33">
        <f>AVERAGE(2,2,6)</f>
        <v>3.3333333333333335</v>
      </c>
      <c r="I162" s="24">
        <v>3</v>
      </c>
      <c r="J162" s="24">
        <v>1</v>
      </c>
      <c r="K162" s="24">
        <v>3</v>
      </c>
      <c r="L162" s="16">
        <f t="shared" si="40"/>
        <v>106.66666666666667</v>
      </c>
      <c r="M162" s="16">
        <f t="shared" si="41"/>
        <v>1.6378466746214022E-2</v>
      </c>
    </row>
    <row r="163" spans="2:13">
      <c r="B163" t="s">
        <v>58</v>
      </c>
      <c r="C163" t="s">
        <v>23</v>
      </c>
      <c r="D163" t="s">
        <v>56</v>
      </c>
      <c r="E163" t="s">
        <v>63</v>
      </c>
      <c r="F163" s="23" t="s">
        <v>12</v>
      </c>
      <c r="G163" s="23">
        <f>(3)+7+(1+11+21)+137+63</f>
        <v>243</v>
      </c>
      <c r="H163" s="16">
        <f>(1+4+4+4+14*3.22+10*1.6)/K163</f>
        <v>2.6457142857142864</v>
      </c>
      <c r="I163" s="24">
        <v>5</v>
      </c>
      <c r="J163" s="24">
        <v>2</v>
      </c>
      <c r="K163" s="24">
        <v>28</v>
      </c>
      <c r="L163" s="16">
        <f t="shared" si="40"/>
        <v>642.90857142857158</v>
      </c>
      <c r="M163" s="16">
        <f t="shared" si="41"/>
        <v>9.8717406168738947E-2</v>
      </c>
    </row>
    <row r="164" spans="2:13">
      <c r="B164" t="s">
        <v>58</v>
      </c>
      <c r="C164" t="s">
        <v>23</v>
      </c>
      <c r="D164" t="s">
        <v>56</v>
      </c>
      <c r="E164" t="s">
        <v>63</v>
      </c>
      <c r="F164" s="23" t="s">
        <v>13</v>
      </c>
      <c r="G164" s="23">
        <v>0</v>
      </c>
      <c r="H164" s="24">
        <v>0</v>
      </c>
      <c r="I164" s="24">
        <v>0</v>
      </c>
      <c r="J164" s="24">
        <v>0</v>
      </c>
      <c r="K164" s="24">
        <v>0</v>
      </c>
      <c r="L164" s="16">
        <f t="shared" si="40"/>
        <v>0</v>
      </c>
      <c r="M164" s="16">
        <f t="shared" si="41"/>
        <v>0</v>
      </c>
    </row>
    <row r="165" spans="2:13">
      <c r="B165" t="s">
        <v>58</v>
      </c>
      <c r="C165" t="s">
        <v>23</v>
      </c>
      <c r="D165" t="s">
        <v>56</v>
      </c>
      <c r="E165" t="s">
        <v>63</v>
      </c>
      <c r="F165" s="23" t="s">
        <v>8</v>
      </c>
      <c r="G165" s="23">
        <v>478</v>
      </c>
      <c r="H165" s="16">
        <v>2.06</v>
      </c>
      <c r="I165" s="23"/>
      <c r="J165" s="23"/>
      <c r="K165" s="24"/>
      <c r="L165" s="16">
        <f>G165*H165</f>
        <v>984.68000000000006</v>
      </c>
      <c r="M165" s="16">
        <f t="shared" si="41"/>
        <v>0.15119576845933147</v>
      </c>
    </row>
    <row r="166" spans="2:13">
      <c r="B166" t="s">
        <v>58</v>
      </c>
      <c r="C166" t="s">
        <v>60</v>
      </c>
      <c r="D166" t="s">
        <v>59</v>
      </c>
      <c r="E166" t="s">
        <v>62</v>
      </c>
      <c r="F166" s="23" t="s">
        <v>5</v>
      </c>
      <c r="G166" s="6">
        <f>80+37</f>
        <v>117</v>
      </c>
      <c r="H166" s="5">
        <f>(2*3+5*1.2)/K166</f>
        <v>1.7142857142857142</v>
      </c>
      <c r="I166" s="6">
        <v>2</v>
      </c>
      <c r="J166" s="6">
        <v>0</v>
      </c>
      <c r="K166" s="6">
        <v>7</v>
      </c>
      <c r="L166" s="16">
        <f>G166*H166</f>
        <v>200.57142857142856</v>
      </c>
      <c r="M166" s="16">
        <f t="shared" ref="M166:M176" si="42">L166/SUM($L$166:$L$176)</f>
        <v>0.12414205812677769</v>
      </c>
    </row>
    <row r="167" spans="2:13">
      <c r="B167" t="s">
        <v>58</v>
      </c>
      <c r="C167" t="s">
        <v>60</v>
      </c>
      <c r="D167" t="s">
        <v>59</v>
      </c>
      <c r="E167" t="s">
        <v>62</v>
      </c>
      <c r="F167" s="23" t="s">
        <v>21</v>
      </c>
      <c r="G167" s="6">
        <f>31+19+13+13</f>
        <v>76</v>
      </c>
      <c r="H167" s="25">
        <f>(2*3.5+3+2+1+2+3)/K167</f>
        <v>2.5714285714285716</v>
      </c>
      <c r="I167" s="21">
        <v>3</v>
      </c>
      <c r="J167" s="21">
        <v>0</v>
      </c>
      <c r="K167" s="21">
        <v>7</v>
      </c>
      <c r="L167" s="16">
        <f>G167*H167</f>
        <v>195.42857142857144</v>
      </c>
      <c r="M167" s="16">
        <f t="shared" si="42"/>
        <v>0.1209589284312193</v>
      </c>
    </row>
    <row r="168" spans="2:13">
      <c r="B168" t="s">
        <v>58</v>
      </c>
      <c r="C168" t="s">
        <v>60</v>
      </c>
      <c r="D168" t="s">
        <v>59</v>
      </c>
      <c r="E168" t="s">
        <v>62</v>
      </c>
      <c r="F168" s="23" t="s">
        <v>49</v>
      </c>
      <c r="G168" s="23">
        <v>0</v>
      </c>
      <c r="H168" s="16">
        <v>0</v>
      </c>
      <c r="I168" s="23">
        <v>0</v>
      </c>
      <c r="J168" s="23">
        <v>0</v>
      </c>
      <c r="K168" s="24">
        <v>0</v>
      </c>
      <c r="L168" s="16">
        <f>G168*H168</f>
        <v>0</v>
      </c>
      <c r="M168" s="16">
        <f t="shared" si="42"/>
        <v>0</v>
      </c>
    </row>
    <row r="169" spans="2:13">
      <c r="B169" t="s">
        <v>58</v>
      </c>
      <c r="C169" t="s">
        <v>60</v>
      </c>
      <c r="D169" t="s">
        <v>59</v>
      </c>
      <c r="E169" t="s">
        <v>62</v>
      </c>
      <c r="F169" s="23" t="s">
        <v>7</v>
      </c>
      <c r="G169" s="23">
        <v>2</v>
      </c>
      <c r="H169" s="16">
        <v>1</v>
      </c>
      <c r="I169" s="23">
        <v>3</v>
      </c>
      <c r="J169" s="23">
        <v>1</v>
      </c>
      <c r="K169" s="23">
        <v>2</v>
      </c>
      <c r="L169" s="16">
        <f t="shared" ref="L169:L175" si="43">G169*H169</f>
        <v>2</v>
      </c>
      <c r="M169" s="16">
        <f t="shared" si="42"/>
        <v>1.2378837704949343E-3</v>
      </c>
    </row>
    <row r="170" spans="2:13">
      <c r="B170" t="s">
        <v>58</v>
      </c>
      <c r="C170" t="s">
        <v>60</v>
      </c>
      <c r="D170" t="s">
        <v>59</v>
      </c>
      <c r="E170" t="s">
        <v>63</v>
      </c>
      <c r="F170" s="23" t="s">
        <v>9</v>
      </c>
      <c r="G170" s="23">
        <v>118</v>
      </c>
      <c r="H170" s="16">
        <v>1.31</v>
      </c>
      <c r="I170" s="23">
        <v>1</v>
      </c>
      <c r="J170" s="23">
        <v>1</v>
      </c>
      <c r="K170" s="23">
        <v>16</v>
      </c>
      <c r="L170" s="16">
        <f t="shared" si="43"/>
        <v>154.58000000000001</v>
      </c>
      <c r="M170" s="16">
        <f t="shared" si="42"/>
        <v>9.5676036621553481E-2</v>
      </c>
    </row>
    <row r="171" spans="2:13">
      <c r="B171" t="s">
        <v>58</v>
      </c>
      <c r="C171" t="s">
        <v>60</v>
      </c>
      <c r="D171" t="s">
        <v>59</v>
      </c>
      <c r="E171" t="s">
        <v>63</v>
      </c>
      <c r="F171" s="23" t="s">
        <v>10</v>
      </c>
      <c r="G171" s="23">
        <f>1+1+5+15+15+(3+5)</f>
        <v>45</v>
      </c>
      <c r="H171" s="16">
        <f>AVERAGE(2,4,4,1,2)</f>
        <v>2.6</v>
      </c>
      <c r="I171" s="24">
        <v>2</v>
      </c>
      <c r="J171" s="24">
        <v>1</v>
      </c>
      <c r="K171" s="24">
        <v>5</v>
      </c>
      <c r="L171" s="16">
        <f t="shared" si="43"/>
        <v>117</v>
      </c>
      <c r="M171" s="16">
        <f t="shared" si="42"/>
        <v>7.2416200573953662E-2</v>
      </c>
    </row>
    <row r="172" spans="2:13">
      <c r="B172" t="s">
        <v>58</v>
      </c>
      <c r="C172" t="s">
        <v>60</v>
      </c>
      <c r="D172" t="s">
        <v>59</v>
      </c>
      <c r="E172" t="s">
        <v>63</v>
      </c>
      <c r="F172" s="23" t="s">
        <v>24</v>
      </c>
      <c r="G172" s="23">
        <f>52+62+40+5+7+7+9+8+(15+14+7+6+5+5+5+7+6+6+6+12+9+5)</f>
        <v>298</v>
      </c>
      <c r="H172" s="16">
        <f>((10*1.1+10*1+6*1.16)+4+4+2+2+2+2+2+2+2+2+2+4+3+2)/K172</f>
        <v>1.5740000000000001</v>
      </c>
      <c r="I172" s="24">
        <v>4</v>
      </c>
      <c r="J172" s="24">
        <v>5</v>
      </c>
      <c r="K172" s="24">
        <v>40</v>
      </c>
      <c r="L172" s="16">
        <f t="shared" si="43"/>
        <v>469.05200000000002</v>
      </c>
      <c r="M172" s="16">
        <f t="shared" si="42"/>
        <v>0.29031592915909499</v>
      </c>
    </row>
    <row r="173" spans="2:13">
      <c r="B173" t="s">
        <v>58</v>
      </c>
      <c r="C173" t="s">
        <v>60</v>
      </c>
      <c r="D173" t="s">
        <v>59</v>
      </c>
      <c r="E173" t="s">
        <v>63</v>
      </c>
      <c r="F173" s="23" t="s">
        <v>11</v>
      </c>
      <c r="G173" s="23">
        <f>1+1+6</f>
        <v>8</v>
      </c>
      <c r="H173" s="33">
        <v>2</v>
      </c>
      <c r="I173" s="24">
        <v>2</v>
      </c>
      <c r="J173" s="24">
        <v>1</v>
      </c>
      <c r="K173" s="24">
        <v>1</v>
      </c>
      <c r="L173" s="16">
        <f t="shared" si="43"/>
        <v>16</v>
      </c>
      <c r="M173" s="16">
        <f t="shared" si="42"/>
        <v>9.9030701639594744E-3</v>
      </c>
    </row>
    <row r="174" spans="2:13">
      <c r="B174" t="s">
        <v>58</v>
      </c>
      <c r="C174" t="s">
        <v>60</v>
      </c>
      <c r="D174" t="s">
        <v>59</v>
      </c>
      <c r="E174" t="s">
        <v>63</v>
      </c>
      <c r="F174" s="23" t="s">
        <v>12</v>
      </c>
      <c r="G174" s="23">
        <f>6+6+(6+5+7)+(8+11+12)</f>
        <v>61</v>
      </c>
      <c r="H174" s="16">
        <f>(1+(2+2+3)+(2+3+3))/K174</f>
        <v>2.2857142857142856</v>
      </c>
      <c r="I174" s="24">
        <v>3</v>
      </c>
      <c r="J174" s="24">
        <v>1</v>
      </c>
      <c r="K174" s="24">
        <v>7</v>
      </c>
      <c r="L174" s="16">
        <f t="shared" si="43"/>
        <v>139.42857142857142</v>
      </c>
      <c r="M174" s="16">
        <f t="shared" si="42"/>
        <v>8.6298182857361128E-2</v>
      </c>
    </row>
    <row r="175" spans="2:13">
      <c r="B175" t="s">
        <v>58</v>
      </c>
      <c r="C175" t="s">
        <v>60</v>
      </c>
      <c r="D175" t="s">
        <v>59</v>
      </c>
      <c r="E175" t="s">
        <v>63</v>
      </c>
      <c r="F175" s="23" t="s">
        <v>13</v>
      </c>
      <c r="G175" s="23">
        <v>0</v>
      </c>
      <c r="H175" s="24">
        <v>0</v>
      </c>
      <c r="I175" s="24">
        <v>0</v>
      </c>
      <c r="J175" s="24">
        <v>0</v>
      </c>
      <c r="K175" s="24">
        <v>0</v>
      </c>
      <c r="L175" s="16">
        <f t="shared" si="43"/>
        <v>0</v>
      </c>
      <c r="M175" s="16">
        <f t="shared" si="42"/>
        <v>0</v>
      </c>
    </row>
    <row r="176" spans="2:13">
      <c r="B176" t="s">
        <v>58</v>
      </c>
      <c r="C176" t="s">
        <v>60</v>
      </c>
      <c r="D176" t="s">
        <v>59</v>
      </c>
      <c r="E176" t="s">
        <v>62</v>
      </c>
      <c r="F176" s="23" t="s">
        <v>8</v>
      </c>
      <c r="G176" s="23">
        <v>160</v>
      </c>
      <c r="H176" s="16">
        <v>2.0099999999999998</v>
      </c>
      <c r="I176" s="24"/>
      <c r="J176" s="24"/>
      <c r="K176" s="24"/>
      <c r="L176" s="16">
        <f>G176*H176</f>
        <v>321.59999999999997</v>
      </c>
      <c r="M176" s="16">
        <f t="shared" si="42"/>
        <v>0.19905171029558541</v>
      </c>
    </row>
    <row r="177" spans="2:13">
      <c r="B177" t="s">
        <v>58</v>
      </c>
      <c r="C177" t="s">
        <v>60</v>
      </c>
      <c r="D177" t="s">
        <v>56</v>
      </c>
      <c r="E177" t="s">
        <v>62</v>
      </c>
      <c r="F177" s="23" t="s">
        <v>5</v>
      </c>
      <c r="G177" s="23">
        <v>265</v>
      </c>
      <c r="H177" s="16">
        <v>2.94</v>
      </c>
      <c r="I177" s="23">
        <v>1</v>
      </c>
      <c r="J177" s="23">
        <v>0</v>
      </c>
      <c r="K177" s="24">
        <v>19</v>
      </c>
      <c r="L177" s="16">
        <f>G177*H177</f>
        <v>779.1</v>
      </c>
      <c r="M177" s="16">
        <f>L177/SUM($L$177:$L$187)</f>
        <v>0.28335721553934345</v>
      </c>
    </row>
    <row r="178" spans="2:13">
      <c r="B178" t="s">
        <v>58</v>
      </c>
      <c r="C178" t="s">
        <v>60</v>
      </c>
      <c r="D178" t="s">
        <v>56</v>
      </c>
      <c r="E178" t="s">
        <v>62</v>
      </c>
      <c r="F178" s="23" t="s">
        <v>21</v>
      </c>
      <c r="G178" s="23">
        <f>31+19+13</f>
        <v>63</v>
      </c>
      <c r="H178" s="24">
        <f>(2*3.5+1*3+1*2)/4</f>
        <v>3</v>
      </c>
      <c r="I178" s="24">
        <v>3</v>
      </c>
      <c r="J178" s="24">
        <v>0</v>
      </c>
      <c r="K178" s="24">
        <v>4</v>
      </c>
      <c r="L178" s="16">
        <f>G178*H178</f>
        <v>189</v>
      </c>
      <c r="M178" s="16">
        <f t="shared" ref="M178:M187" si="44">L178/SUM($L$177:$L$187)</f>
        <v>6.8738947165878472E-2</v>
      </c>
    </row>
    <row r="179" spans="2:13">
      <c r="B179" t="s">
        <v>58</v>
      </c>
      <c r="C179" t="s">
        <v>60</v>
      </c>
      <c r="D179" t="s">
        <v>56</v>
      </c>
      <c r="E179" t="s">
        <v>62</v>
      </c>
      <c r="F179" s="23" t="s">
        <v>49</v>
      </c>
      <c r="G179" s="23">
        <v>0</v>
      </c>
      <c r="H179" s="16">
        <v>0</v>
      </c>
      <c r="I179" s="23">
        <v>0</v>
      </c>
      <c r="J179" s="23">
        <v>0</v>
      </c>
      <c r="K179" s="24">
        <v>0</v>
      </c>
      <c r="L179" s="16">
        <f>G179*H179</f>
        <v>0</v>
      </c>
      <c r="M179" s="16">
        <f t="shared" si="44"/>
        <v>0</v>
      </c>
    </row>
    <row r="180" spans="2:13">
      <c r="B180" t="s">
        <v>58</v>
      </c>
      <c r="C180" t="s">
        <v>60</v>
      </c>
      <c r="D180" t="s">
        <v>56</v>
      </c>
      <c r="E180" t="s">
        <v>62</v>
      </c>
      <c r="F180" s="23" t="s">
        <v>7</v>
      </c>
      <c r="G180" s="23">
        <f>27+26+26</f>
        <v>79</v>
      </c>
      <c r="H180" s="16">
        <f>AVERAGE(1,1.5,1)</f>
        <v>1.1666666666666667</v>
      </c>
      <c r="I180" s="24">
        <v>3</v>
      </c>
      <c r="J180" s="24">
        <v>0</v>
      </c>
      <c r="K180" s="23">
        <f>4+2+4</f>
        <v>10</v>
      </c>
      <c r="L180" s="16">
        <f t="shared" ref="L180:L186" si="45">G180*H180</f>
        <v>92.166666666666671</v>
      </c>
      <c r="M180" s="16">
        <f t="shared" si="44"/>
        <v>3.352084460558271E-2</v>
      </c>
    </row>
    <row r="181" spans="2:13">
      <c r="B181" t="s">
        <v>58</v>
      </c>
      <c r="C181" t="s">
        <v>60</v>
      </c>
      <c r="D181" t="s">
        <v>56</v>
      </c>
      <c r="E181" t="s">
        <v>63</v>
      </c>
      <c r="F181" s="23" t="s">
        <v>9</v>
      </c>
      <c r="G181" s="23">
        <v>0</v>
      </c>
      <c r="H181" s="16">
        <v>0</v>
      </c>
      <c r="I181" s="24">
        <v>0</v>
      </c>
      <c r="J181" s="24">
        <v>0</v>
      </c>
      <c r="K181" s="24">
        <v>0</v>
      </c>
      <c r="L181" s="16">
        <f t="shared" si="45"/>
        <v>0</v>
      </c>
      <c r="M181" s="16">
        <f t="shared" si="44"/>
        <v>0</v>
      </c>
    </row>
    <row r="182" spans="2:13">
      <c r="B182" t="s">
        <v>58</v>
      </c>
      <c r="C182" t="s">
        <v>60</v>
      </c>
      <c r="D182" t="s">
        <v>56</v>
      </c>
      <c r="E182" t="s">
        <v>63</v>
      </c>
      <c r="F182" s="23" t="s">
        <v>10</v>
      </c>
      <c r="G182" s="23">
        <v>107</v>
      </c>
      <c r="H182" s="16">
        <v>3</v>
      </c>
      <c r="I182" s="24">
        <v>3</v>
      </c>
      <c r="J182" s="24">
        <v>0</v>
      </c>
      <c r="K182" s="24">
        <v>7</v>
      </c>
      <c r="L182" s="16">
        <f t="shared" si="45"/>
        <v>321</v>
      </c>
      <c r="M182" s="16">
        <f t="shared" si="44"/>
        <v>0.11674710074204755</v>
      </c>
    </row>
    <row r="183" spans="2:13">
      <c r="B183" t="s">
        <v>58</v>
      </c>
      <c r="C183" t="s">
        <v>60</v>
      </c>
      <c r="D183" t="s">
        <v>56</v>
      </c>
      <c r="E183" t="s">
        <v>63</v>
      </c>
      <c r="F183" s="23" t="s">
        <v>24</v>
      </c>
      <c r="G183" s="23">
        <f>364+8+9+156+46</f>
        <v>583</v>
      </c>
      <c r="H183" s="16">
        <f>(39*1.974+18*2.61)/K183</f>
        <v>2.1748421052631581</v>
      </c>
      <c r="I183" s="24">
        <v>5</v>
      </c>
      <c r="J183" s="24">
        <v>3</v>
      </c>
      <c r="K183" s="24">
        <f>18+39</f>
        <v>57</v>
      </c>
      <c r="L183" s="16">
        <f t="shared" si="45"/>
        <v>1267.9329473684211</v>
      </c>
      <c r="M183" s="16">
        <f t="shared" si="44"/>
        <v>0.46114484592081728</v>
      </c>
    </row>
    <row r="184" spans="2:13">
      <c r="B184" t="s">
        <v>58</v>
      </c>
      <c r="C184" t="s">
        <v>60</v>
      </c>
      <c r="D184" t="s">
        <v>56</v>
      </c>
      <c r="E184" t="s">
        <v>63</v>
      </c>
      <c r="F184" s="23" t="s">
        <v>11</v>
      </c>
      <c r="G184" s="23">
        <v>7</v>
      </c>
      <c r="H184" s="33">
        <v>2</v>
      </c>
      <c r="I184" s="24">
        <v>1</v>
      </c>
      <c r="J184" s="24">
        <v>0</v>
      </c>
      <c r="K184" s="24">
        <v>1</v>
      </c>
      <c r="L184" s="16">
        <f t="shared" si="45"/>
        <v>14</v>
      </c>
      <c r="M184" s="16">
        <f t="shared" si="44"/>
        <v>5.0917738641391456E-3</v>
      </c>
    </row>
    <row r="185" spans="2:13">
      <c r="B185" t="s">
        <v>58</v>
      </c>
      <c r="C185" t="s">
        <v>60</v>
      </c>
      <c r="D185" t="s">
        <v>56</v>
      </c>
      <c r="E185" t="s">
        <v>63</v>
      </c>
      <c r="F185" s="23" t="s">
        <v>12</v>
      </c>
      <c r="G185" s="23">
        <f>7+2+3+15+5+5</f>
        <v>37</v>
      </c>
      <c r="H185" s="16">
        <f>AVERAGE(2,1,3,4,2,2)</f>
        <v>2.3333333333333335</v>
      </c>
      <c r="I185" s="24">
        <v>2</v>
      </c>
      <c r="J185" s="24">
        <v>0</v>
      </c>
      <c r="K185" s="24">
        <v>6</v>
      </c>
      <c r="L185" s="16">
        <f t="shared" si="45"/>
        <v>86.333333333333343</v>
      </c>
      <c r="M185" s="16">
        <f t="shared" si="44"/>
        <v>3.1399272162191405E-2</v>
      </c>
    </row>
    <row r="186" spans="2:13">
      <c r="B186" t="s">
        <v>58</v>
      </c>
      <c r="C186" t="s">
        <v>60</v>
      </c>
      <c r="D186" t="s">
        <v>56</v>
      </c>
      <c r="E186" t="s">
        <v>63</v>
      </c>
      <c r="F186" s="23" t="s">
        <v>13</v>
      </c>
      <c r="G186" s="23">
        <v>0</v>
      </c>
      <c r="H186" s="24">
        <v>0</v>
      </c>
      <c r="I186" s="24">
        <v>0</v>
      </c>
      <c r="J186" s="24">
        <v>0</v>
      </c>
      <c r="K186" s="24">
        <v>0</v>
      </c>
      <c r="L186" s="16">
        <f t="shared" si="45"/>
        <v>0</v>
      </c>
      <c r="M186" s="16">
        <f t="shared" si="44"/>
        <v>0</v>
      </c>
    </row>
    <row r="187" spans="2:13">
      <c r="B187" t="s">
        <v>58</v>
      </c>
      <c r="C187" t="s">
        <v>60</v>
      </c>
      <c r="D187" t="s">
        <v>56</v>
      </c>
      <c r="E187" t="s">
        <v>63</v>
      </c>
      <c r="F187" s="23" t="s">
        <v>8</v>
      </c>
      <c r="G187" s="23">
        <v>0</v>
      </c>
      <c r="H187" s="16">
        <v>0</v>
      </c>
      <c r="I187" s="24">
        <v>0</v>
      </c>
      <c r="J187" s="24">
        <v>0</v>
      </c>
      <c r="K187" s="24">
        <v>0</v>
      </c>
      <c r="L187" s="16">
        <f>G187*H187</f>
        <v>0</v>
      </c>
      <c r="M187" s="16">
        <f t="shared" si="44"/>
        <v>0</v>
      </c>
    </row>
  </sheetData>
  <mergeCells count="7">
    <mergeCell ref="AS6:AY6"/>
    <mergeCell ref="AL6:AR6"/>
    <mergeCell ref="C6:I6"/>
    <mergeCell ref="J6:P6"/>
    <mergeCell ref="Q6:W6"/>
    <mergeCell ref="X6:AD6"/>
    <mergeCell ref="AE6:AK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2008-10-21T23:50:48Z</dcterms:created>
  <dcterms:modified xsi:type="dcterms:W3CDTF">2009-03-26T02:31:34Z</dcterms:modified>
</cp:coreProperties>
</file>