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8" yWindow="36" windowWidth="16212" windowHeight="8928"/>
  </bookViews>
  <sheets>
    <sheet name="CASSIUS Benchmark Treemap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K68" i="1"/>
  <c r="K67"/>
  <c r="G66"/>
  <c r="F66"/>
  <c r="K65"/>
  <c r="J64"/>
  <c r="G64" s="1"/>
  <c r="F64"/>
  <c r="K63"/>
  <c r="K62"/>
  <c r="J61"/>
  <c r="G61"/>
  <c r="K61" s="1"/>
  <c r="F61"/>
  <c r="K60"/>
  <c r="G59"/>
  <c r="F59"/>
  <c r="K59" s="1"/>
  <c r="K58"/>
  <c r="K57"/>
  <c r="K56"/>
  <c r="G55"/>
  <c r="F55"/>
  <c r="F54"/>
  <c r="K54" s="1"/>
  <c r="G53"/>
  <c r="F53"/>
  <c r="K53" s="1"/>
  <c r="G52"/>
  <c r="F52"/>
  <c r="K52" s="1"/>
  <c r="K51"/>
  <c r="K50"/>
  <c r="K49"/>
  <c r="G48"/>
  <c r="F48"/>
  <c r="G47"/>
  <c r="F47"/>
  <c r="K46"/>
  <c r="K45"/>
  <c r="G44"/>
  <c r="F44"/>
  <c r="G43"/>
  <c r="F43"/>
  <c r="G42"/>
  <c r="F42"/>
  <c r="G41"/>
  <c r="F41"/>
  <c r="G40"/>
  <c r="F40"/>
  <c r="K39"/>
  <c r="K38"/>
  <c r="G37"/>
  <c r="F37"/>
  <c r="G36"/>
  <c r="F36"/>
  <c r="K35"/>
  <c r="K34"/>
  <c r="G33"/>
  <c r="F33"/>
  <c r="K32"/>
  <c r="G31"/>
  <c r="F31"/>
  <c r="K31" s="1"/>
  <c r="G30"/>
  <c r="F30"/>
  <c r="K30" s="1"/>
  <c r="K29"/>
  <c r="K28"/>
  <c r="K27"/>
  <c r="G26"/>
  <c r="F26"/>
  <c r="G25"/>
  <c r="F25"/>
  <c r="K24"/>
  <c r="K23"/>
  <c r="G22"/>
  <c r="F22"/>
  <c r="K21"/>
  <c r="G20"/>
  <c r="F20"/>
  <c r="K20" s="1"/>
  <c r="G19"/>
  <c r="F19"/>
  <c r="K19" s="1"/>
  <c r="K18"/>
  <c r="K17"/>
  <c r="K16"/>
  <c r="G15"/>
  <c r="F15"/>
  <c r="G14"/>
  <c r="F14"/>
  <c r="K13"/>
  <c r="K12"/>
  <c r="J11"/>
  <c r="G11" s="1"/>
  <c r="F11"/>
  <c r="K10"/>
  <c r="G9"/>
  <c r="F9"/>
  <c r="G8"/>
  <c r="F8"/>
  <c r="K7"/>
  <c r="K6"/>
  <c r="K5"/>
  <c r="K4"/>
  <c r="K3"/>
  <c r="K11" l="1"/>
  <c r="K8"/>
  <c r="K9"/>
  <c r="L9" s="1"/>
  <c r="K14"/>
  <c r="K15"/>
  <c r="L15" s="1"/>
  <c r="K22"/>
  <c r="K25"/>
  <c r="L25" s="1"/>
  <c r="K26"/>
  <c r="K33"/>
  <c r="L33" s="1"/>
  <c r="K36"/>
  <c r="K37"/>
  <c r="K40"/>
  <c r="K41"/>
  <c r="K42"/>
  <c r="K43"/>
  <c r="L43" s="1"/>
  <c r="K44"/>
  <c r="K47"/>
  <c r="K48"/>
  <c r="K55"/>
  <c r="L55" s="1"/>
  <c r="K66"/>
  <c r="K64"/>
  <c r="L64" s="1"/>
  <c r="L47" l="1"/>
  <c r="L41"/>
  <c r="L66"/>
  <c r="L48"/>
  <c r="L44"/>
  <c r="L42"/>
  <c r="L40"/>
  <c r="L36"/>
  <c r="L26"/>
  <c r="L22"/>
  <c r="L14"/>
  <c r="L8"/>
  <c r="L67"/>
  <c r="L58"/>
  <c r="L51"/>
  <c r="L45"/>
  <c r="L34"/>
  <c r="L27"/>
  <c r="L18"/>
  <c r="L12"/>
  <c r="L5"/>
  <c r="L68"/>
  <c r="L62"/>
  <c r="L60"/>
  <c r="L57"/>
  <c r="L53"/>
  <c r="L50"/>
  <c r="L39"/>
  <c r="L32"/>
  <c r="L30"/>
  <c r="L24"/>
  <c r="L20"/>
  <c r="L17"/>
  <c r="L10"/>
  <c r="L4"/>
  <c r="L37"/>
  <c r="L11"/>
  <c r="L63"/>
  <c r="L56"/>
  <c r="L49"/>
  <c r="L38"/>
  <c r="L29"/>
  <c r="L23"/>
  <c r="L16"/>
  <c r="L7"/>
  <c r="L3"/>
  <c r="L65"/>
  <c r="L61"/>
  <c r="L59"/>
  <c r="L54"/>
  <c r="L52"/>
  <c r="L46"/>
  <c r="L35"/>
  <c r="L31"/>
  <c r="L28"/>
  <c r="L21"/>
  <c r="L19"/>
  <c r="L13"/>
  <c r="L6"/>
</calcChain>
</file>

<file path=xl/sharedStrings.xml><?xml version="1.0" encoding="utf-8"?>
<sst xmlns="http://schemas.openxmlformats.org/spreadsheetml/2006/main" count="354" uniqueCount="36">
  <si>
    <t>Benchmark</t>
  </si>
  <si>
    <t>Infrastructure</t>
  </si>
  <si>
    <t>Side</t>
  </si>
  <si>
    <t>CONCERN</t>
  </si>
  <si>
    <t>LOC</t>
  </si>
  <si>
    <t>CC</t>
  </si>
  <si>
    <t>#Classes</t>
  </si>
  <si>
    <t>#Interf</t>
  </si>
  <si>
    <t>#Methods</t>
  </si>
  <si>
    <t>LOC*CC</t>
  </si>
  <si>
    <t>Ratio</t>
  </si>
  <si>
    <t>STRING</t>
  </si>
  <si>
    <t>INTEGER</t>
  </si>
  <si>
    <t>FLOAT</t>
  </si>
  <si>
    <t>CASSIUS</t>
  </si>
  <si>
    <t>BFS</t>
  </si>
  <si>
    <t>Server</t>
  </si>
  <si>
    <t>Adaptation</t>
  </si>
  <si>
    <t>Conf &amp; Connect</t>
  </si>
  <si>
    <t>Thread &amp; Distrib</t>
  </si>
  <si>
    <t>Factory</t>
  </si>
  <si>
    <t>Event</t>
  </si>
  <si>
    <t>Notification</t>
  </si>
  <si>
    <t>Protocol (TS)</t>
  </si>
  <si>
    <t>Publication</t>
  </si>
  <si>
    <t>Subscription</t>
  </si>
  <si>
    <t>Routing</t>
  </si>
  <si>
    <t>Glue</t>
  </si>
  <si>
    <t>Siena</t>
  </si>
  <si>
    <t>CORBA-NS</t>
  </si>
  <si>
    <t>JavaSpaces</t>
  </si>
  <si>
    <t>YANCEES</t>
  </si>
  <si>
    <t>Client</t>
  </si>
  <si>
    <t>Type</t>
  </si>
  <si>
    <t>Accidental</t>
  </si>
  <si>
    <t>Essential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</si>
</sst>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0" fontId="0" fillId="0" borderId="0" xfId="0" applyFont="1"/>
    <xf numFmtId="2" fontId="0" fillId="0" borderId="0" xfId="0" applyNumberFormat="1" applyFont="1" applyBorder="1"/>
    <xf numFmtId="0" fontId="0" fillId="0" borderId="0" xfId="0" applyFont="1" applyFill="1" applyBorder="1"/>
    <xf numFmtId="2" fontId="0" fillId="0" borderId="0" xfId="0" applyNumberFormat="1" applyFont="1" applyFill="1" applyBorder="1"/>
    <xf numFmtId="0" fontId="0" fillId="0" borderId="0" xfId="0" applyBorder="1"/>
    <xf numFmtId="2" fontId="0" fillId="0" borderId="0" xfId="0" applyNumberFormat="1" applyBorder="1"/>
    <xf numFmtId="2" fontId="0" fillId="0" borderId="0" xfId="0" applyNumberFormat="1" applyFill="1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68"/>
  <sheetViews>
    <sheetView tabSelected="1" topLeftCell="A42" workbookViewId="0">
      <selection activeCell="N67" sqref="N67"/>
    </sheetView>
  </sheetViews>
  <sheetFormatPr defaultRowHeight="14.4"/>
  <sheetData>
    <row r="1" spans="1:12">
      <c r="A1" t="s">
        <v>0</v>
      </c>
      <c r="B1" t="s">
        <v>1</v>
      </c>
      <c r="C1" t="s">
        <v>2</v>
      </c>
      <c r="D1" t="s">
        <v>33</v>
      </c>
      <c r="E1" s="1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</row>
    <row r="2" spans="1:12">
      <c r="A2" t="s">
        <v>11</v>
      </c>
      <c r="B2" t="s">
        <v>11</v>
      </c>
      <c r="C2" t="s">
        <v>11</v>
      </c>
      <c r="D2" t="s">
        <v>11</v>
      </c>
      <c r="E2" t="s">
        <v>11</v>
      </c>
      <c r="F2" t="s">
        <v>12</v>
      </c>
      <c r="G2" t="s">
        <v>13</v>
      </c>
      <c r="H2" t="s">
        <v>12</v>
      </c>
      <c r="I2" t="s">
        <v>12</v>
      </c>
      <c r="J2" t="s">
        <v>12</v>
      </c>
      <c r="K2" t="s">
        <v>13</v>
      </c>
      <c r="L2" t="s">
        <v>13</v>
      </c>
    </row>
    <row r="3" spans="1:12">
      <c r="A3" t="s">
        <v>14</v>
      </c>
      <c r="B3" t="s">
        <v>15</v>
      </c>
      <c r="C3" t="s">
        <v>16</v>
      </c>
      <c r="D3" t="s">
        <v>34</v>
      </c>
      <c r="E3" s="3" t="s">
        <v>17</v>
      </c>
      <c r="F3" s="1">
        <v>0</v>
      </c>
      <c r="G3" s="4">
        <v>0</v>
      </c>
      <c r="H3" s="1">
        <v>0</v>
      </c>
      <c r="I3" s="5">
        <v>0</v>
      </c>
      <c r="J3" s="5">
        <v>0</v>
      </c>
      <c r="K3" s="4">
        <f>F3*G3</f>
        <v>0</v>
      </c>
      <c r="L3" s="4">
        <f>K3/SUM(K$3:K$13)</f>
        <v>0</v>
      </c>
    </row>
    <row r="4" spans="1:12">
      <c r="A4" t="s">
        <v>14</v>
      </c>
      <c r="B4" t="s">
        <v>15</v>
      </c>
      <c r="C4" t="s">
        <v>16</v>
      </c>
      <c r="D4" t="s">
        <v>34</v>
      </c>
      <c r="E4" s="3" t="s">
        <v>18</v>
      </c>
      <c r="F4" s="1">
        <v>31</v>
      </c>
      <c r="G4" s="4">
        <v>3.5</v>
      </c>
      <c r="H4" s="1">
        <v>1</v>
      </c>
      <c r="I4" s="5">
        <v>0</v>
      </c>
      <c r="J4" s="5">
        <v>2</v>
      </c>
      <c r="K4" s="4">
        <f t="shared" ref="K4:K10" si="0">F4*G4</f>
        <v>108.5</v>
      </c>
      <c r="L4" s="4">
        <f t="shared" ref="L4:L12" si="1">K4/SUM(K$3:K$13)</f>
        <v>1.7498567672173979E-2</v>
      </c>
    </row>
    <row r="5" spans="1:12">
      <c r="A5" t="s">
        <v>14</v>
      </c>
      <c r="B5" t="s">
        <v>15</v>
      </c>
      <c r="C5" t="s">
        <v>16</v>
      </c>
      <c r="D5" t="s">
        <v>34</v>
      </c>
      <c r="E5" s="3" t="s">
        <v>19</v>
      </c>
      <c r="F5" s="1">
        <v>926</v>
      </c>
      <c r="G5" s="4">
        <v>1.9410000000000001</v>
      </c>
      <c r="H5" s="1">
        <v>9</v>
      </c>
      <c r="I5" s="1">
        <v>4</v>
      </c>
      <c r="J5" s="1">
        <v>83</v>
      </c>
      <c r="K5" s="4">
        <f t="shared" si="0"/>
        <v>1797.366</v>
      </c>
      <c r="L5" s="4">
        <f t="shared" si="1"/>
        <v>0.28987401458677103</v>
      </c>
    </row>
    <row r="6" spans="1:12">
      <c r="A6" t="s">
        <v>14</v>
      </c>
      <c r="B6" t="s">
        <v>15</v>
      </c>
      <c r="C6" t="s">
        <v>16</v>
      </c>
      <c r="D6" t="s">
        <v>34</v>
      </c>
      <c r="E6" s="3" t="s">
        <v>20</v>
      </c>
      <c r="F6" s="1">
        <v>2</v>
      </c>
      <c r="G6" s="4">
        <v>1</v>
      </c>
      <c r="H6" s="1">
        <v>3</v>
      </c>
      <c r="I6" s="1">
        <v>1</v>
      </c>
      <c r="J6" s="1">
        <v>2</v>
      </c>
      <c r="K6" s="4">
        <f t="shared" si="0"/>
        <v>2</v>
      </c>
      <c r="L6" s="4">
        <f t="shared" si="1"/>
        <v>3.2255424280505033E-4</v>
      </c>
    </row>
    <row r="7" spans="1:12">
      <c r="A7" t="s">
        <v>14</v>
      </c>
      <c r="B7" t="s">
        <v>15</v>
      </c>
      <c r="C7" t="s">
        <v>16</v>
      </c>
      <c r="D7" t="s">
        <v>35</v>
      </c>
      <c r="E7" s="3" t="s">
        <v>21</v>
      </c>
      <c r="F7" s="1">
        <v>118</v>
      </c>
      <c r="G7" s="4">
        <v>1.31</v>
      </c>
      <c r="H7" s="1">
        <v>1</v>
      </c>
      <c r="I7" s="1">
        <v>1</v>
      </c>
      <c r="J7" s="1">
        <v>16</v>
      </c>
      <c r="K7" s="4">
        <f t="shared" si="0"/>
        <v>154.58000000000001</v>
      </c>
      <c r="L7" s="4">
        <f t="shared" si="1"/>
        <v>2.4930217426402342E-2</v>
      </c>
    </row>
    <row r="8" spans="1:12">
      <c r="A8" t="s">
        <v>14</v>
      </c>
      <c r="B8" t="s">
        <v>15</v>
      </c>
      <c r="C8" t="s">
        <v>16</v>
      </c>
      <c r="D8" t="s">
        <v>35</v>
      </c>
      <c r="E8" s="3" t="s">
        <v>22</v>
      </c>
      <c r="F8" s="1">
        <f>(10+12+12)+(16+18+21+1)</f>
        <v>90</v>
      </c>
      <c r="G8" s="4">
        <f>AVERAGE(3,3,3,6,5,6,1)</f>
        <v>3.8571428571428572</v>
      </c>
      <c r="H8" s="5">
        <v>3</v>
      </c>
      <c r="I8" s="5">
        <v>1</v>
      </c>
      <c r="J8" s="5">
        <v>7</v>
      </c>
      <c r="K8" s="4">
        <f t="shared" si="0"/>
        <v>347.14285714285717</v>
      </c>
      <c r="L8" s="4">
        <f t="shared" si="1"/>
        <v>5.598620071544802E-2</v>
      </c>
    </row>
    <row r="9" spans="1:12">
      <c r="A9" t="s">
        <v>14</v>
      </c>
      <c r="B9" t="s">
        <v>15</v>
      </c>
      <c r="C9" t="s">
        <v>16</v>
      </c>
      <c r="D9" t="s">
        <v>35</v>
      </c>
      <c r="E9" s="3" t="s">
        <v>23</v>
      </c>
      <c r="F9" s="1">
        <f>(1+1+14+7+6+6+6+9+13+7+9+1+1+6)+18+18+52+62+40+5+7+7+9+8</f>
        <v>313</v>
      </c>
      <c r="G9" s="4">
        <f>(AVERAGE(1,1,3,2,2,2,2,3,3,2,3,1,1,2)*14+1.1*10+10*1+6*1.16)/J9</f>
        <v>1.8653333333333333</v>
      </c>
      <c r="H9" s="1">
        <v>4</v>
      </c>
      <c r="I9" s="1">
        <v>5</v>
      </c>
      <c r="J9" s="1">
        <v>30</v>
      </c>
      <c r="K9" s="4">
        <f t="shared" si="0"/>
        <v>583.84933333333333</v>
      </c>
      <c r="L9" s="4">
        <f t="shared" si="1"/>
        <v>9.4161539812783385E-2</v>
      </c>
    </row>
    <row r="10" spans="1:12">
      <c r="A10" t="s">
        <v>14</v>
      </c>
      <c r="B10" t="s">
        <v>15</v>
      </c>
      <c r="C10" t="s">
        <v>16</v>
      </c>
      <c r="D10" t="s">
        <v>35</v>
      </c>
      <c r="E10" s="3" t="s">
        <v>24</v>
      </c>
      <c r="F10" s="1">
        <v>8</v>
      </c>
      <c r="G10" s="4">
        <v>3</v>
      </c>
      <c r="H10" s="5">
        <v>3</v>
      </c>
      <c r="I10" s="5">
        <v>1</v>
      </c>
      <c r="J10" s="5">
        <v>1</v>
      </c>
      <c r="K10" s="4">
        <f t="shared" si="0"/>
        <v>24</v>
      </c>
      <c r="L10" s="4">
        <f t="shared" si="1"/>
        <v>3.870650913660604E-3</v>
      </c>
    </row>
    <row r="11" spans="1:12">
      <c r="A11" t="s">
        <v>14</v>
      </c>
      <c r="B11" t="s">
        <v>15</v>
      </c>
      <c r="C11" t="s">
        <v>16</v>
      </c>
      <c r="D11" t="s">
        <v>35</v>
      </c>
      <c r="E11" s="3" t="s">
        <v>25</v>
      </c>
      <c r="F11" s="1">
        <f>(1+1+1)+(11+13+12)+7+117+5+6+186</f>
        <v>360</v>
      </c>
      <c r="G11" s="4">
        <f>(AVERAGE(4,3,5)*3+1+12*2.66+7*5.714)/J11</f>
        <v>3.6920869565217393</v>
      </c>
      <c r="H11" s="5">
        <v>4</v>
      </c>
      <c r="I11" s="5">
        <v>2</v>
      </c>
      <c r="J11" s="5">
        <f>16+7</f>
        <v>23</v>
      </c>
      <c r="K11" s="4">
        <f>F11*G11</f>
        <v>1329.1513043478262</v>
      </c>
      <c r="L11" s="4">
        <f t="shared" si="1"/>
        <v>0.21436169627362903</v>
      </c>
    </row>
    <row r="12" spans="1:12">
      <c r="A12" t="s">
        <v>14</v>
      </c>
      <c r="B12" t="s">
        <v>15</v>
      </c>
      <c r="C12" t="s">
        <v>16</v>
      </c>
      <c r="D12" t="s">
        <v>35</v>
      </c>
      <c r="E12" s="3" t="s">
        <v>26</v>
      </c>
      <c r="F12" s="1">
        <v>274</v>
      </c>
      <c r="G12" s="4">
        <v>2.5670000000000002</v>
      </c>
      <c r="H12" s="5">
        <v>3</v>
      </c>
      <c r="I12" s="5">
        <v>2</v>
      </c>
      <c r="J12" s="5">
        <v>29</v>
      </c>
      <c r="K12" s="4">
        <f>F12*G12</f>
        <v>703.35800000000006</v>
      </c>
      <c r="L12" s="4">
        <f t="shared" si="1"/>
        <v>0.1134355535554373</v>
      </c>
    </row>
    <row r="13" spans="1:12">
      <c r="A13" t="s">
        <v>14</v>
      </c>
      <c r="B13" t="s">
        <v>15</v>
      </c>
      <c r="C13" t="s">
        <v>16</v>
      </c>
      <c r="D13" t="s">
        <v>34</v>
      </c>
      <c r="E13" s="3" t="s">
        <v>27</v>
      </c>
      <c r="F13" s="1">
        <v>564</v>
      </c>
      <c r="G13" s="4">
        <v>2.04</v>
      </c>
      <c r="H13" s="1"/>
      <c r="I13" s="1"/>
      <c r="J13" s="1"/>
      <c r="K13" s="4">
        <f>F13*G13</f>
        <v>1150.56</v>
      </c>
      <c r="L13" s="4">
        <f>K13/SUM(K$3:K$13)</f>
        <v>0.18555900480088933</v>
      </c>
    </row>
    <row r="14" spans="1:12">
      <c r="A14" t="s">
        <v>14</v>
      </c>
      <c r="B14" t="s">
        <v>28</v>
      </c>
      <c r="C14" t="s">
        <v>16</v>
      </c>
      <c r="D14" t="s">
        <v>34</v>
      </c>
      <c r="E14" s="1" t="s">
        <v>17</v>
      </c>
      <c r="F14" s="1">
        <f>117+41+197</f>
        <v>355</v>
      </c>
      <c r="G14" s="1">
        <f>(12*2.6+2*1+7*6)/J14</f>
        <v>3.008</v>
      </c>
      <c r="H14" s="1">
        <v>3</v>
      </c>
      <c r="I14" s="1">
        <v>0</v>
      </c>
      <c r="J14" s="1">
        <v>25</v>
      </c>
      <c r="K14" s="4">
        <f t="shared" ref="K14:K23" si="2">F14*G14</f>
        <v>1067.8399999999999</v>
      </c>
      <c r="L14" s="4">
        <f>K14/SUM(K$14:K$24)</f>
        <v>0.19067372907988639</v>
      </c>
    </row>
    <row r="15" spans="1:12">
      <c r="A15" t="s">
        <v>14</v>
      </c>
      <c r="B15" t="s">
        <v>28</v>
      </c>
      <c r="C15" t="s">
        <v>16</v>
      </c>
      <c r="D15" t="s">
        <v>34</v>
      </c>
      <c r="E15" s="1" t="s">
        <v>18</v>
      </c>
      <c r="F15" s="1">
        <f>31+(5+6+4)+51</f>
        <v>97</v>
      </c>
      <c r="G15" s="5">
        <f>(2*3.5+3*2+2*4)/J15</f>
        <v>3</v>
      </c>
      <c r="H15" s="5">
        <v>3</v>
      </c>
      <c r="I15" s="5">
        <v>0</v>
      </c>
      <c r="J15" s="5">
        <v>7</v>
      </c>
      <c r="K15" s="4">
        <f t="shared" si="2"/>
        <v>291</v>
      </c>
      <c r="L15" s="4">
        <f t="shared" ref="L15:L24" si="3">K15/SUM(K$14:K$24)</f>
        <v>5.1961019593054152E-2</v>
      </c>
    </row>
    <row r="16" spans="1:12">
      <c r="A16" t="s">
        <v>14</v>
      </c>
      <c r="B16" t="s">
        <v>28</v>
      </c>
      <c r="C16" t="s">
        <v>16</v>
      </c>
      <c r="D16" t="s">
        <v>34</v>
      </c>
      <c r="E16" s="1" t="s">
        <v>19</v>
      </c>
      <c r="F16" s="1">
        <v>926</v>
      </c>
      <c r="G16" s="4">
        <v>1.9410000000000001</v>
      </c>
      <c r="H16" s="1">
        <v>9</v>
      </c>
      <c r="I16" s="1">
        <v>4</v>
      </c>
      <c r="J16" s="1">
        <v>83</v>
      </c>
      <c r="K16" s="4">
        <f t="shared" si="2"/>
        <v>1797.366</v>
      </c>
      <c r="L16" s="4">
        <f t="shared" si="3"/>
        <v>0.32093804103742052</v>
      </c>
    </row>
    <row r="17" spans="1:12">
      <c r="A17" t="s">
        <v>14</v>
      </c>
      <c r="B17" t="s">
        <v>28</v>
      </c>
      <c r="C17" t="s">
        <v>16</v>
      </c>
      <c r="D17" t="s">
        <v>34</v>
      </c>
      <c r="E17" s="1" t="s">
        <v>20</v>
      </c>
      <c r="F17" s="1">
        <v>2</v>
      </c>
      <c r="G17" s="4">
        <v>1</v>
      </c>
      <c r="H17" s="1">
        <v>3</v>
      </c>
      <c r="I17" s="1">
        <v>1</v>
      </c>
      <c r="J17" s="1">
        <v>2</v>
      </c>
      <c r="K17" s="4">
        <f t="shared" si="2"/>
        <v>2</v>
      </c>
      <c r="L17" s="4">
        <f t="shared" si="3"/>
        <v>3.5712040957425537E-4</v>
      </c>
    </row>
    <row r="18" spans="1:12">
      <c r="A18" t="s">
        <v>14</v>
      </c>
      <c r="B18" t="s">
        <v>28</v>
      </c>
      <c r="C18" t="s">
        <v>16</v>
      </c>
      <c r="D18" t="s">
        <v>35</v>
      </c>
      <c r="E18" s="1" t="s">
        <v>21</v>
      </c>
      <c r="F18" s="1">
        <v>118</v>
      </c>
      <c r="G18" s="4">
        <v>1.31</v>
      </c>
      <c r="H18" s="1">
        <v>1</v>
      </c>
      <c r="I18" s="1">
        <v>1</v>
      </c>
      <c r="J18" s="1">
        <v>16</v>
      </c>
      <c r="K18" s="4">
        <f t="shared" si="2"/>
        <v>154.58000000000001</v>
      </c>
      <c r="L18" s="4">
        <f t="shared" si="3"/>
        <v>2.7601836455994198E-2</v>
      </c>
    </row>
    <row r="19" spans="1:12">
      <c r="A19" t="s">
        <v>14</v>
      </c>
      <c r="B19" t="s">
        <v>28</v>
      </c>
      <c r="C19" t="s">
        <v>16</v>
      </c>
      <c r="D19" t="s">
        <v>35</v>
      </c>
      <c r="E19" s="1" t="s">
        <v>22</v>
      </c>
      <c r="F19" s="1">
        <f>(10+12+12)+(16+18+21+1)+(2+3)</f>
        <v>95</v>
      </c>
      <c r="G19" s="4">
        <f>AVERAGE(3,3,3,6,5,6,1,1,2)</f>
        <v>3.3333333333333335</v>
      </c>
      <c r="H19" s="5">
        <v>4</v>
      </c>
      <c r="I19" s="5">
        <v>1</v>
      </c>
      <c r="J19" s="5">
        <v>9</v>
      </c>
      <c r="K19" s="4">
        <f t="shared" si="2"/>
        <v>316.66666666666669</v>
      </c>
      <c r="L19" s="4">
        <f t="shared" si="3"/>
        <v>5.65440648492571E-2</v>
      </c>
    </row>
    <row r="20" spans="1:12">
      <c r="A20" t="s">
        <v>14</v>
      </c>
      <c r="B20" t="s">
        <v>28</v>
      </c>
      <c r="C20" t="s">
        <v>16</v>
      </c>
      <c r="D20" t="s">
        <v>35</v>
      </c>
      <c r="E20" s="1" t="s">
        <v>23</v>
      </c>
      <c r="F20" s="1">
        <f>(1+1+14+7+6+6+6+9+13+7+9+1+1+6)+18+18+52+62+40+5+7+7+9+8</f>
        <v>313</v>
      </c>
      <c r="G20" s="4">
        <f>(AVERAGE(1,1,3,2,2,2,2,3,3,2,3,1,1,2)*14+1.1*10+10*1+6*1.16)/J20</f>
        <v>1.8653333333333333</v>
      </c>
      <c r="H20" s="1">
        <v>4</v>
      </c>
      <c r="I20" s="1">
        <v>5</v>
      </c>
      <c r="J20" s="1">
        <v>30</v>
      </c>
      <c r="K20" s="4">
        <f t="shared" si="2"/>
        <v>583.84933333333333</v>
      </c>
      <c r="L20" s="4">
        <f t="shared" si="3"/>
        <v>0.10425225652482796</v>
      </c>
    </row>
    <row r="21" spans="1:12">
      <c r="A21" t="s">
        <v>14</v>
      </c>
      <c r="B21" t="s">
        <v>28</v>
      </c>
      <c r="C21" t="s">
        <v>16</v>
      </c>
      <c r="D21" t="s">
        <v>35</v>
      </c>
      <c r="E21" s="1" t="s">
        <v>24</v>
      </c>
      <c r="F21" s="1">
        <v>8</v>
      </c>
      <c r="G21" s="5">
        <v>3</v>
      </c>
      <c r="H21" s="5">
        <v>3</v>
      </c>
      <c r="I21" s="5">
        <v>1</v>
      </c>
      <c r="J21" s="5">
        <v>1</v>
      </c>
      <c r="K21" s="4">
        <f t="shared" si="2"/>
        <v>24</v>
      </c>
      <c r="L21" s="4">
        <f t="shared" si="3"/>
        <v>4.2854449148910642E-3</v>
      </c>
    </row>
    <row r="22" spans="1:12">
      <c r="A22" t="s">
        <v>14</v>
      </c>
      <c r="B22" t="s">
        <v>28</v>
      </c>
      <c r="C22" t="s">
        <v>16</v>
      </c>
      <c r="D22" t="s">
        <v>35</v>
      </c>
      <c r="E22" s="1" t="s">
        <v>25</v>
      </c>
      <c r="F22" s="1">
        <f>(1+1+1)+(11+13+12)+7+5+6</f>
        <v>57</v>
      </c>
      <c r="G22" s="4">
        <f>AVERAGE(4,3,5,1)</f>
        <v>3.25</v>
      </c>
      <c r="H22" s="5">
        <v>3</v>
      </c>
      <c r="I22" s="5">
        <v>2</v>
      </c>
      <c r="J22" s="5">
        <v>4</v>
      </c>
      <c r="K22" s="4">
        <f t="shared" si="2"/>
        <v>185.25</v>
      </c>
      <c r="L22" s="4">
        <f t="shared" si="3"/>
        <v>3.3078277936815399E-2</v>
      </c>
    </row>
    <row r="23" spans="1:12">
      <c r="A23" t="s">
        <v>14</v>
      </c>
      <c r="B23" t="s">
        <v>28</v>
      </c>
      <c r="C23" t="s">
        <v>16</v>
      </c>
      <c r="D23" t="s">
        <v>35</v>
      </c>
      <c r="E23" s="1" t="s">
        <v>26</v>
      </c>
      <c r="F23" s="1">
        <v>0</v>
      </c>
      <c r="G23" s="5">
        <v>0</v>
      </c>
      <c r="H23" s="5">
        <v>0</v>
      </c>
      <c r="I23" s="5">
        <v>0</v>
      </c>
      <c r="J23" s="5">
        <v>0</v>
      </c>
      <c r="K23" s="4">
        <f t="shared" si="2"/>
        <v>0</v>
      </c>
      <c r="L23" s="4">
        <f t="shared" si="3"/>
        <v>0</v>
      </c>
    </row>
    <row r="24" spans="1:12">
      <c r="A24" t="s">
        <v>14</v>
      </c>
      <c r="B24" t="s">
        <v>28</v>
      </c>
      <c r="C24" t="s">
        <v>16</v>
      </c>
      <c r="D24" t="s">
        <v>34</v>
      </c>
      <c r="E24" s="1" t="s">
        <v>27</v>
      </c>
      <c r="F24" s="1">
        <v>604</v>
      </c>
      <c r="G24" s="4">
        <v>1.95</v>
      </c>
      <c r="H24" s="1"/>
      <c r="I24" s="1"/>
      <c r="J24" s="1"/>
      <c r="K24" s="4">
        <f>F24*G24</f>
        <v>1177.8</v>
      </c>
      <c r="L24" s="4">
        <f t="shared" si="3"/>
        <v>0.21030820919827897</v>
      </c>
    </row>
    <row r="25" spans="1:12">
      <c r="A25" t="s">
        <v>14</v>
      </c>
      <c r="B25" t="s">
        <v>29</v>
      </c>
      <c r="C25" t="s">
        <v>16</v>
      </c>
      <c r="D25" t="s">
        <v>34</v>
      </c>
      <c r="E25" s="1" t="s">
        <v>17</v>
      </c>
      <c r="F25" s="1">
        <f>104+216+177</f>
        <v>497</v>
      </c>
      <c r="G25" s="4">
        <f>(2*8+8*5.8+12*2.6)/J25</f>
        <v>4.254545454545454</v>
      </c>
      <c r="H25" s="1">
        <v>3</v>
      </c>
      <c r="I25" s="1">
        <v>0</v>
      </c>
      <c r="J25" s="1">
        <v>22</v>
      </c>
      <c r="K25" s="4">
        <f t="shared" ref="K25:K34" si="4">F25*G25</f>
        <v>2114.5090909090904</v>
      </c>
      <c r="L25" s="4">
        <f>K25/SUM(K$25:K$35)</f>
        <v>0.28334138868319414</v>
      </c>
    </row>
    <row r="26" spans="1:12">
      <c r="A26" t="s">
        <v>14</v>
      </c>
      <c r="B26" t="s">
        <v>29</v>
      </c>
      <c r="C26" t="s">
        <v>16</v>
      </c>
      <c r="D26" t="s">
        <v>34</v>
      </c>
      <c r="E26" s="1" t="s">
        <v>18</v>
      </c>
      <c r="F26" s="1">
        <f>31+5+92</f>
        <v>128</v>
      </c>
      <c r="G26" s="6">
        <f>(2*3.5+5+2*6.5)/J26</f>
        <v>5</v>
      </c>
      <c r="H26" s="5">
        <v>3</v>
      </c>
      <c r="I26" s="5">
        <v>0</v>
      </c>
      <c r="J26" s="5">
        <v>5</v>
      </c>
      <c r="K26" s="4">
        <f t="shared" si="4"/>
        <v>640</v>
      </c>
      <c r="L26" s="4">
        <f t="shared" ref="L26:L35" si="5">K26/SUM(K$25:K$35)</f>
        <v>8.5759143593599499E-2</v>
      </c>
    </row>
    <row r="27" spans="1:12">
      <c r="A27" t="s">
        <v>14</v>
      </c>
      <c r="B27" t="s">
        <v>29</v>
      </c>
      <c r="C27" t="s">
        <v>16</v>
      </c>
      <c r="D27" t="s">
        <v>34</v>
      </c>
      <c r="E27" s="1" t="s">
        <v>19</v>
      </c>
      <c r="F27" s="1">
        <v>926</v>
      </c>
      <c r="G27" s="4">
        <v>1.9410000000000001</v>
      </c>
      <c r="H27" s="1">
        <v>9</v>
      </c>
      <c r="I27" s="1">
        <v>4</v>
      </c>
      <c r="J27" s="1">
        <v>83</v>
      </c>
      <c r="K27" s="4">
        <f t="shared" si="4"/>
        <v>1797.366</v>
      </c>
      <c r="L27" s="4">
        <f t="shared" si="5"/>
        <v>0.2408446388816462</v>
      </c>
    </row>
    <row r="28" spans="1:12">
      <c r="A28" t="s">
        <v>14</v>
      </c>
      <c r="B28" t="s">
        <v>29</v>
      </c>
      <c r="C28" t="s">
        <v>16</v>
      </c>
      <c r="D28" t="s">
        <v>35</v>
      </c>
      <c r="E28" s="1" t="s">
        <v>20</v>
      </c>
      <c r="F28" s="1">
        <v>2</v>
      </c>
      <c r="G28" s="4">
        <v>1</v>
      </c>
      <c r="H28" s="1">
        <v>3</v>
      </c>
      <c r="I28" s="1">
        <v>1</v>
      </c>
      <c r="J28" s="1">
        <v>2</v>
      </c>
      <c r="K28" s="4">
        <f t="shared" si="4"/>
        <v>2</v>
      </c>
      <c r="L28" s="4">
        <f t="shared" si="5"/>
        <v>2.6799732372999844E-4</v>
      </c>
    </row>
    <row r="29" spans="1:12">
      <c r="A29" t="s">
        <v>14</v>
      </c>
      <c r="B29" t="s">
        <v>29</v>
      </c>
      <c r="C29" t="s">
        <v>16</v>
      </c>
      <c r="D29" t="s">
        <v>35</v>
      </c>
      <c r="E29" s="1" t="s">
        <v>21</v>
      </c>
      <c r="F29" s="1">
        <v>118</v>
      </c>
      <c r="G29" s="4">
        <v>1.31</v>
      </c>
      <c r="H29" s="1">
        <v>1</v>
      </c>
      <c r="I29" s="1">
        <v>1</v>
      </c>
      <c r="J29" s="1">
        <v>16</v>
      </c>
      <c r="K29" s="4">
        <f t="shared" si="4"/>
        <v>154.58000000000001</v>
      </c>
      <c r="L29" s="4">
        <f t="shared" si="5"/>
        <v>2.0713513151091583E-2</v>
      </c>
    </row>
    <row r="30" spans="1:12">
      <c r="A30" t="s">
        <v>14</v>
      </c>
      <c r="B30" t="s">
        <v>29</v>
      </c>
      <c r="C30" t="s">
        <v>16</v>
      </c>
      <c r="D30" t="s">
        <v>35</v>
      </c>
      <c r="E30" s="1" t="s">
        <v>22</v>
      </c>
      <c r="F30" s="1">
        <f>(1+1+1)+(10+12+12)+(6)+(16+18+21+1)+(2+3)</f>
        <v>104</v>
      </c>
      <c r="G30" s="4">
        <f>(3*3+(6+5+6+1)+(1+2))/J30</f>
        <v>3.3333333333333335</v>
      </c>
      <c r="H30" s="5">
        <v>4</v>
      </c>
      <c r="I30" s="5">
        <v>1</v>
      </c>
      <c r="J30" s="5">
        <v>9</v>
      </c>
      <c r="K30" s="4">
        <f t="shared" si="4"/>
        <v>346.66666666666669</v>
      </c>
      <c r="L30" s="4">
        <f t="shared" si="5"/>
        <v>4.6452869446533068E-2</v>
      </c>
    </row>
    <row r="31" spans="1:12">
      <c r="A31" t="s">
        <v>14</v>
      </c>
      <c r="B31" t="s">
        <v>29</v>
      </c>
      <c r="C31" t="s">
        <v>16</v>
      </c>
      <c r="D31" t="s">
        <v>35</v>
      </c>
      <c r="E31" s="1" t="s">
        <v>23</v>
      </c>
      <c r="F31" s="1">
        <f>(1+1+14+7+6+6+6+9+13+7+9+1+1+6)+18+18+52+62+40+5+7+7+9+8</f>
        <v>313</v>
      </c>
      <c r="G31" s="4">
        <f>(AVERAGE(1,1,3,2,2,2,2,3,3,2,3,1,1,2)*14+1.1*10+10*1+6*1.16)/J31</f>
        <v>1.8653333333333333</v>
      </c>
      <c r="H31" s="1">
        <v>4</v>
      </c>
      <c r="I31" s="1">
        <v>5</v>
      </c>
      <c r="J31" s="1">
        <v>30</v>
      </c>
      <c r="K31" s="4">
        <f t="shared" si="4"/>
        <v>583.84933333333333</v>
      </c>
      <c r="L31" s="4">
        <f t="shared" si="5"/>
        <v>7.8235029397438552E-2</v>
      </c>
    </row>
    <row r="32" spans="1:12">
      <c r="A32" t="s">
        <v>14</v>
      </c>
      <c r="B32" t="s">
        <v>29</v>
      </c>
      <c r="C32" t="s">
        <v>16</v>
      </c>
      <c r="D32" t="s">
        <v>35</v>
      </c>
      <c r="E32" s="1" t="s">
        <v>24</v>
      </c>
      <c r="F32" s="1">
        <v>8</v>
      </c>
      <c r="G32" s="6">
        <v>3</v>
      </c>
      <c r="H32" s="5">
        <v>3</v>
      </c>
      <c r="I32" s="5">
        <v>1</v>
      </c>
      <c r="J32" s="5">
        <v>1</v>
      </c>
      <c r="K32" s="4">
        <f t="shared" si="4"/>
        <v>24</v>
      </c>
      <c r="L32" s="4">
        <f t="shared" si="5"/>
        <v>3.2159678847599816E-3</v>
      </c>
    </row>
    <row r="33" spans="1:12">
      <c r="A33" t="s">
        <v>14</v>
      </c>
      <c r="B33" t="s">
        <v>29</v>
      </c>
      <c r="C33" t="s">
        <v>16</v>
      </c>
      <c r="D33" t="s">
        <v>35</v>
      </c>
      <c r="E33" s="1" t="s">
        <v>25</v>
      </c>
      <c r="F33" s="1">
        <f>(1+1+1)+(11+13+12)+7+(1+1)+(1+1+1)</f>
        <v>51</v>
      </c>
      <c r="G33" s="4">
        <f>AVERAGE(4,3,5,1)</f>
        <v>3.25</v>
      </c>
      <c r="H33" s="5">
        <v>3</v>
      </c>
      <c r="I33" s="5">
        <v>2</v>
      </c>
      <c r="J33" s="5">
        <v>4</v>
      </c>
      <c r="K33" s="4">
        <f t="shared" si="4"/>
        <v>165.75</v>
      </c>
      <c r="L33" s="4">
        <f t="shared" si="5"/>
        <v>2.2210278204123621E-2</v>
      </c>
    </row>
    <row r="34" spans="1:12">
      <c r="A34" t="s">
        <v>14</v>
      </c>
      <c r="B34" t="s">
        <v>29</v>
      </c>
      <c r="C34" t="s">
        <v>16</v>
      </c>
      <c r="D34" t="s">
        <v>35</v>
      </c>
      <c r="E34" s="1" t="s">
        <v>26</v>
      </c>
      <c r="F34" s="1">
        <v>0</v>
      </c>
      <c r="G34" s="6">
        <v>0</v>
      </c>
      <c r="H34" s="5">
        <v>0</v>
      </c>
      <c r="I34" s="5">
        <v>0</v>
      </c>
      <c r="J34" s="5">
        <v>0</v>
      </c>
      <c r="K34" s="4">
        <f t="shared" si="4"/>
        <v>0</v>
      </c>
      <c r="L34" s="4">
        <f t="shared" si="5"/>
        <v>0</v>
      </c>
    </row>
    <row r="35" spans="1:12">
      <c r="A35" t="s">
        <v>14</v>
      </c>
      <c r="B35" t="s">
        <v>29</v>
      </c>
      <c r="C35" t="s">
        <v>16</v>
      </c>
      <c r="D35" t="s">
        <v>34</v>
      </c>
      <c r="E35" s="1" t="s">
        <v>27</v>
      </c>
      <c r="F35" s="1">
        <v>801</v>
      </c>
      <c r="G35" s="4">
        <v>2.04</v>
      </c>
      <c r="H35" s="1"/>
      <c r="I35" s="1"/>
      <c r="J35" s="1"/>
      <c r="K35" s="4">
        <f>F35*G35</f>
        <v>1634.04</v>
      </c>
      <c r="L35" s="4">
        <f t="shared" si="5"/>
        <v>0.21895917343388333</v>
      </c>
    </row>
    <row r="36" spans="1:12">
      <c r="A36" t="s">
        <v>14</v>
      </c>
      <c r="B36" t="s">
        <v>30</v>
      </c>
      <c r="C36" t="s">
        <v>16</v>
      </c>
      <c r="D36" t="s">
        <v>34</v>
      </c>
      <c r="E36" s="1" t="s">
        <v>17</v>
      </c>
      <c r="F36" s="1">
        <f>177+183+31</f>
        <v>391</v>
      </c>
      <c r="G36" s="4">
        <f>(3*1.33+7*5.85+2*1)/J36</f>
        <v>3.9116666666666666</v>
      </c>
      <c r="H36" s="1">
        <v>3</v>
      </c>
      <c r="I36" s="1">
        <v>0</v>
      </c>
      <c r="J36" s="1">
        <v>12</v>
      </c>
      <c r="K36" s="4">
        <f t="shared" ref="K36:K45" si="6">F36*G36</f>
        <v>1529.4616666666666</v>
      </c>
      <c r="L36" s="4">
        <f>K36/SUM(K$36:K$46)</f>
        <v>0.23484597231664756</v>
      </c>
    </row>
    <row r="37" spans="1:12">
      <c r="A37" t="s">
        <v>14</v>
      </c>
      <c r="B37" t="s">
        <v>30</v>
      </c>
      <c r="C37" t="s">
        <v>16</v>
      </c>
      <c r="D37" t="s">
        <v>34</v>
      </c>
      <c r="E37" s="1" t="s">
        <v>18</v>
      </c>
      <c r="F37" s="1">
        <f>31+(7)+25</f>
        <v>63</v>
      </c>
      <c r="G37" s="5">
        <f>(2*3.5+1*2+3*1.33)/J37</f>
        <v>2.165</v>
      </c>
      <c r="H37" s="5">
        <v>3</v>
      </c>
      <c r="I37" s="5">
        <v>0</v>
      </c>
      <c r="J37" s="5">
        <v>6</v>
      </c>
      <c r="K37" s="4">
        <f t="shared" si="6"/>
        <v>136.39500000000001</v>
      </c>
      <c r="L37" s="4">
        <f t="shared" ref="L37:L46" si="7">K37/SUM(K$36:K$46)</f>
        <v>2.0943196611092452E-2</v>
      </c>
    </row>
    <row r="38" spans="1:12">
      <c r="A38" t="s">
        <v>14</v>
      </c>
      <c r="B38" t="s">
        <v>30</v>
      </c>
      <c r="C38" t="s">
        <v>16</v>
      </c>
      <c r="D38" t="s">
        <v>34</v>
      </c>
      <c r="E38" s="1" t="s">
        <v>19</v>
      </c>
      <c r="F38" s="1">
        <v>926</v>
      </c>
      <c r="G38" s="4">
        <v>1.9410000000000001</v>
      </c>
      <c r="H38" s="1">
        <v>9</v>
      </c>
      <c r="I38" s="1">
        <v>4</v>
      </c>
      <c r="J38" s="1">
        <v>83</v>
      </c>
      <c r="K38" s="4">
        <f t="shared" si="6"/>
        <v>1797.366</v>
      </c>
      <c r="L38" s="4">
        <f t="shared" si="7"/>
        <v>0.27598218057914725</v>
      </c>
    </row>
    <row r="39" spans="1:12">
      <c r="A39" t="s">
        <v>14</v>
      </c>
      <c r="B39" t="s">
        <v>30</v>
      </c>
      <c r="C39" t="s">
        <v>16</v>
      </c>
      <c r="D39" t="s">
        <v>34</v>
      </c>
      <c r="E39" s="1" t="s">
        <v>20</v>
      </c>
      <c r="F39" s="1">
        <v>2</v>
      </c>
      <c r="G39" s="4">
        <v>1</v>
      </c>
      <c r="H39" s="1">
        <v>3</v>
      </c>
      <c r="I39" s="1">
        <v>1</v>
      </c>
      <c r="J39" s="1">
        <v>2</v>
      </c>
      <c r="K39" s="4">
        <f t="shared" si="6"/>
        <v>2</v>
      </c>
      <c r="L39" s="4">
        <f t="shared" si="7"/>
        <v>3.0709625149151287E-4</v>
      </c>
    </row>
    <row r="40" spans="1:12">
      <c r="A40" t="s">
        <v>14</v>
      </c>
      <c r="B40" t="s">
        <v>30</v>
      </c>
      <c r="C40" t="s">
        <v>16</v>
      </c>
      <c r="D40" t="s">
        <v>35</v>
      </c>
      <c r="E40" s="1" t="s">
        <v>21</v>
      </c>
      <c r="F40" s="1">
        <f>118+29+47</f>
        <v>194</v>
      </c>
      <c r="G40" s="4">
        <f>(16*1.3+2*2)/J40</f>
        <v>1.3777777777777778</v>
      </c>
      <c r="H40" s="5">
        <v>2</v>
      </c>
      <c r="I40" s="5">
        <v>1</v>
      </c>
      <c r="J40" s="5">
        <v>18</v>
      </c>
      <c r="K40" s="4">
        <f t="shared" si="6"/>
        <v>267.28888888888889</v>
      </c>
      <c r="L40" s="4">
        <f t="shared" si="7"/>
        <v>4.1041707921554635E-2</v>
      </c>
    </row>
    <row r="41" spans="1:12">
      <c r="A41" t="s">
        <v>14</v>
      </c>
      <c r="B41" t="s">
        <v>30</v>
      </c>
      <c r="C41" t="s">
        <v>16</v>
      </c>
      <c r="D41" t="s">
        <v>35</v>
      </c>
      <c r="E41" s="1" t="s">
        <v>22</v>
      </c>
      <c r="F41" s="1">
        <f>13+27+23</f>
        <v>63</v>
      </c>
      <c r="G41" s="4">
        <f>AVERAGE(3,10,9)</f>
        <v>7.333333333333333</v>
      </c>
      <c r="H41" s="5">
        <v>3</v>
      </c>
      <c r="I41" s="5">
        <v>0</v>
      </c>
      <c r="J41" s="5">
        <v>3</v>
      </c>
      <c r="K41" s="4">
        <f t="shared" si="6"/>
        <v>462</v>
      </c>
      <c r="L41" s="4">
        <f t="shared" si="7"/>
        <v>7.0939234094539477E-2</v>
      </c>
    </row>
    <row r="42" spans="1:12">
      <c r="A42" t="s">
        <v>14</v>
      </c>
      <c r="B42" t="s">
        <v>30</v>
      </c>
      <c r="C42" t="s">
        <v>16</v>
      </c>
      <c r="D42" t="s">
        <v>35</v>
      </c>
      <c r="E42" s="1" t="s">
        <v>23</v>
      </c>
      <c r="F42" s="1">
        <f>(1+1+14+7+6+6+6+9+13+7+9+1+1+6)+18+18+52+62+40+5+7+7+9+8</f>
        <v>313</v>
      </c>
      <c r="G42" s="4">
        <f>(AVERAGE(1,1,3,2,2,2,2,3,3,2,3,1,1,2)*14+1.1*10+10*1+6*1.16)/J42</f>
        <v>1.8653333333333333</v>
      </c>
      <c r="H42" s="1">
        <v>4</v>
      </c>
      <c r="I42" s="1">
        <v>5</v>
      </c>
      <c r="J42" s="1">
        <v>30</v>
      </c>
      <c r="K42" s="4">
        <f t="shared" si="6"/>
        <v>583.84933333333333</v>
      </c>
      <c r="L42" s="4">
        <f t="shared" si="7"/>
        <v>8.9648970851242737E-2</v>
      </c>
    </row>
    <row r="43" spans="1:12">
      <c r="A43" t="s">
        <v>14</v>
      </c>
      <c r="B43" t="s">
        <v>30</v>
      </c>
      <c r="C43" t="s">
        <v>16</v>
      </c>
      <c r="D43" t="s">
        <v>35</v>
      </c>
      <c r="E43" s="1" t="s">
        <v>24</v>
      </c>
      <c r="F43" s="1">
        <f>1+1+6+5+19</f>
        <v>32</v>
      </c>
      <c r="G43" s="6">
        <f>AVERAGE(2,2,6)</f>
        <v>3.3333333333333335</v>
      </c>
      <c r="H43" s="5">
        <v>3</v>
      </c>
      <c r="I43" s="5">
        <v>1</v>
      </c>
      <c r="J43" s="5">
        <v>3</v>
      </c>
      <c r="K43" s="4">
        <f t="shared" si="6"/>
        <v>106.66666666666667</v>
      </c>
      <c r="L43" s="4">
        <f t="shared" si="7"/>
        <v>1.6378466746214022E-2</v>
      </c>
    </row>
    <row r="44" spans="1:12">
      <c r="A44" t="s">
        <v>14</v>
      </c>
      <c r="B44" t="s">
        <v>30</v>
      </c>
      <c r="C44" t="s">
        <v>16</v>
      </c>
      <c r="D44" t="s">
        <v>35</v>
      </c>
      <c r="E44" s="1" t="s">
        <v>25</v>
      </c>
      <c r="F44" s="1">
        <f>(3)+7+(1+11+21)+137+63</f>
        <v>243</v>
      </c>
      <c r="G44" s="4">
        <f>(1+4+4+4+14*3.22+10*1.6)/J44</f>
        <v>2.6457142857142864</v>
      </c>
      <c r="H44" s="5">
        <v>5</v>
      </c>
      <c r="I44" s="5">
        <v>2</v>
      </c>
      <c r="J44" s="5">
        <v>28</v>
      </c>
      <c r="K44" s="4">
        <f t="shared" si="6"/>
        <v>642.90857142857158</v>
      </c>
      <c r="L44" s="4">
        <f t="shared" si="7"/>
        <v>9.8717406168738947E-2</v>
      </c>
    </row>
    <row r="45" spans="1:12">
      <c r="A45" t="s">
        <v>14</v>
      </c>
      <c r="B45" t="s">
        <v>30</v>
      </c>
      <c r="C45" t="s">
        <v>16</v>
      </c>
      <c r="D45" t="s">
        <v>35</v>
      </c>
      <c r="E45" s="1" t="s">
        <v>26</v>
      </c>
      <c r="F45" s="1">
        <v>0</v>
      </c>
      <c r="G45" s="5">
        <v>0</v>
      </c>
      <c r="H45" s="5">
        <v>0</v>
      </c>
      <c r="I45" s="5">
        <v>0</v>
      </c>
      <c r="J45" s="5">
        <v>0</v>
      </c>
      <c r="K45" s="4">
        <f t="shared" si="6"/>
        <v>0</v>
      </c>
      <c r="L45" s="4">
        <f t="shared" si="7"/>
        <v>0</v>
      </c>
    </row>
    <row r="46" spans="1:12">
      <c r="A46" t="s">
        <v>14</v>
      </c>
      <c r="B46" t="s">
        <v>30</v>
      </c>
      <c r="C46" t="s">
        <v>16</v>
      </c>
      <c r="D46" t="s">
        <v>35</v>
      </c>
      <c r="E46" s="1" t="s">
        <v>27</v>
      </c>
      <c r="F46" s="1">
        <v>478</v>
      </c>
      <c r="G46" s="4">
        <v>2.06</v>
      </c>
      <c r="H46" s="1"/>
      <c r="I46" s="1"/>
      <c r="J46" s="5"/>
      <c r="K46" s="4">
        <f>F46*G46</f>
        <v>984.68000000000006</v>
      </c>
      <c r="L46" s="4">
        <f t="shared" si="7"/>
        <v>0.15119576845933147</v>
      </c>
    </row>
    <row r="47" spans="1:12">
      <c r="A47" t="s">
        <v>14</v>
      </c>
      <c r="B47" t="s">
        <v>31</v>
      </c>
      <c r="C47" t="s">
        <v>32</v>
      </c>
      <c r="D47" t="s">
        <v>34</v>
      </c>
      <c r="E47" s="1" t="s">
        <v>17</v>
      </c>
      <c r="F47" s="7">
        <f>80+37</f>
        <v>117</v>
      </c>
      <c r="G47" s="8">
        <f>(2*3+5*1.2)/J47</f>
        <v>1.7142857142857142</v>
      </c>
      <c r="H47" s="7">
        <v>2</v>
      </c>
      <c r="I47" s="7">
        <v>0</v>
      </c>
      <c r="J47" s="7">
        <v>7</v>
      </c>
      <c r="K47" s="4">
        <f t="shared" ref="K47:K56" si="8">F47*G47</f>
        <v>200.57142857142856</v>
      </c>
      <c r="L47" s="4">
        <f>K47/SUM(K$47:K$57)</f>
        <v>0.12414205812677769</v>
      </c>
    </row>
    <row r="48" spans="1:12">
      <c r="A48" t="s">
        <v>14</v>
      </c>
      <c r="B48" t="s">
        <v>31</v>
      </c>
      <c r="C48" t="s">
        <v>32</v>
      </c>
      <c r="D48" t="s">
        <v>34</v>
      </c>
      <c r="E48" s="1" t="s">
        <v>18</v>
      </c>
      <c r="F48" s="7">
        <f>31+19+13+13</f>
        <v>76</v>
      </c>
      <c r="G48" s="9">
        <f>(2*3.5+3+2+1+2+3)/J48</f>
        <v>2.5714285714285716</v>
      </c>
      <c r="H48" s="10">
        <v>3</v>
      </c>
      <c r="I48" s="10">
        <v>0</v>
      </c>
      <c r="J48" s="10">
        <v>7</v>
      </c>
      <c r="K48" s="4">
        <f t="shared" si="8"/>
        <v>195.42857142857144</v>
      </c>
      <c r="L48" s="4">
        <f t="shared" ref="L48:L56" si="9">K48/SUM(K$47:K$57)</f>
        <v>0.1209589284312193</v>
      </c>
    </row>
    <row r="49" spans="1:12">
      <c r="A49" t="s">
        <v>14</v>
      </c>
      <c r="B49" t="s">
        <v>31</v>
      </c>
      <c r="C49" t="s">
        <v>32</v>
      </c>
      <c r="D49" t="s">
        <v>34</v>
      </c>
      <c r="E49" s="1" t="s">
        <v>19</v>
      </c>
      <c r="F49" s="1">
        <v>0</v>
      </c>
      <c r="G49" s="4">
        <v>0</v>
      </c>
      <c r="H49" s="1">
        <v>0</v>
      </c>
      <c r="I49" s="1">
        <v>0</v>
      </c>
      <c r="J49" s="5">
        <v>0</v>
      </c>
      <c r="K49" s="4">
        <f>F49*G49</f>
        <v>0</v>
      </c>
      <c r="L49" s="4">
        <f t="shared" si="9"/>
        <v>0</v>
      </c>
    </row>
    <row r="50" spans="1:12">
      <c r="A50" t="s">
        <v>14</v>
      </c>
      <c r="B50" t="s">
        <v>31</v>
      </c>
      <c r="C50" t="s">
        <v>32</v>
      </c>
      <c r="D50" t="s">
        <v>34</v>
      </c>
      <c r="E50" s="1" t="s">
        <v>20</v>
      </c>
      <c r="F50" s="1">
        <v>2</v>
      </c>
      <c r="G50" s="4">
        <v>1</v>
      </c>
      <c r="H50" s="1">
        <v>3</v>
      </c>
      <c r="I50" s="1">
        <v>1</v>
      </c>
      <c r="J50" s="1">
        <v>2</v>
      </c>
      <c r="K50" s="4">
        <f t="shared" ref="K50:K57" si="10">F50*G50</f>
        <v>2</v>
      </c>
      <c r="L50" s="4">
        <f t="shared" si="9"/>
        <v>1.2378837704949343E-3</v>
      </c>
    </row>
    <row r="51" spans="1:12">
      <c r="A51" t="s">
        <v>14</v>
      </c>
      <c r="B51" t="s">
        <v>31</v>
      </c>
      <c r="C51" t="s">
        <v>32</v>
      </c>
      <c r="D51" t="s">
        <v>35</v>
      </c>
      <c r="E51" s="1" t="s">
        <v>21</v>
      </c>
      <c r="F51" s="1">
        <v>118</v>
      </c>
      <c r="G51" s="4">
        <v>1.31</v>
      </c>
      <c r="H51" s="1">
        <v>1</v>
      </c>
      <c r="I51" s="1">
        <v>1</v>
      </c>
      <c r="J51" s="1">
        <v>16</v>
      </c>
      <c r="K51" s="4">
        <f t="shared" si="10"/>
        <v>154.58000000000001</v>
      </c>
      <c r="L51" s="4">
        <f t="shared" si="9"/>
        <v>9.5676036621553481E-2</v>
      </c>
    </row>
    <row r="52" spans="1:12">
      <c r="A52" t="s">
        <v>14</v>
      </c>
      <c r="B52" t="s">
        <v>31</v>
      </c>
      <c r="C52" t="s">
        <v>32</v>
      </c>
      <c r="D52" t="s">
        <v>35</v>
      </c>
      <c r="E52" s="1" t="s">
        <v>22</v>
      </c>
      <c r="F52" s="1">
        <f>1+1+5+15+15+(3+5)</f>
        <v>45</v>
      </c>
      <c r="G52" s="4">
        <f>AVERAGE(2,4,4,1,2)</f>
        <v>2.6</v>
      </c>
      <c r="H52" s="5">
        <v>2</v>
      </c>
      <c r="I52" s="5">
        <v>1</v>
      </c>
      <c r="J52" s="5">
        <v>5</v>
      </c>
      <c r="K52" s="4">
        <f t="shared" si="10"/>
        <v>117</v>
      </c>
      <c r="L52" s="4">
        <f t="shared" si="9"/>
        <v>7.2416200573953662E-2</v>
      </c>
    </row>
    <row r="53" spans="1:12">
      <c r="A53" t="s">
        <v>14</v>
      </c>
      <c r="B53" t="s">
        <v>31</v>
      </c>
      <c r="C53" t="s">
        <v>32</v>
      </c>
      <c r="D53" t="s">
        <v>35</v>
      </c>
      <c r="E53" s="1" t="s">
        <v>23</v>
      </c>
      <c r="F53" s="1">
        <f>52+62+40+5+7+7+9+8+(15+14+7+6+5+5+5+7+6+6+6+12+9+5)</f>
        <v>298</v>
      </c>
      <c r="G53" s="4">
        <f>((10*1.1+10*1+6*1.16)+4+4+2+2+2+2+2+2+2+2+2+4+3+2)/J53</f>
        <v>1.5740000000000001</v>
      </c>
      <c r="H53" s="5">
        <v>4</v>
      </c>
      <c r="I53" s="5">
        <v>5</v>
      </c>
      <c r="J53" s="5">
        <v>40</v>
      </c>
      <c r="K53" s="4">
        <f t="shared" si="10"/>
        <v>469.05200000000002</v>
      </c>
      <c r="L53" s="4">
        <f t="shared" si="9"/>
        <v>0.29031592915909499</v>
      </c>
    </row>
    <row r="54" spans="1:12">
      <c r="A54" t="s">
        <v>14</v>
      </c>
      <c r="B54" t="s">
        <v>31</v>
      </c>
      <c r="C54" t="s">
        <v>32</v>
      </c>
      <c r="D54" t="s">
        <v>35</v>
      </c>
      <c r="E54" s="1" t="s">
        <v>24</v>
      </c>
      <c r="F54" s="1">
        <f>1+1+6</f>
        <v>8</v>
      </c>
      <c r="G54" s="6">
        <v>2</v>
      </c>
      <c r="H54" s="5">
        <v>2</v>
      </c>
      <c r="I54" s="5">
        <v>1</v>
      </c>
      <c r="J54" s="5">
        <v>1</v>
      </c>
      <c r="K54" s="4">
        <f t="shared" si="10"/>
        <v>16</v>
      </c>
      <c r="L54" s="4">
        <f t="shared" si="9"/>
        <v>9.9030701639594744E-3</v>
      </c>
    </row>
    <row r="55" spans="1:12">
      <c r="A55" t="s">
        <v>14</v>
      </c>
      <c r="B55" t="s">
        <v>31</v>
      </c>
      <c r="C55" t="s">
        <v>32</v>
      </c>
      <c r="D55" t="s">
        <v>35</v>
      </c>
      <c r="E55" s="1" t="s">
        <v>25</v>
      </c>
      <c r="F55" s="1">
        <f>6+6+(6+5+7)+(8+11+12)</f>
        <v>61</v>
      </c>
      <c r="G55" s="4">
        <f>(1+(2+2+3)+(2+3+3))/J55</f>
        <v>2.2857142857142856</v>
      </c>
      <c r="H55" s="5">
        <v>3</v>
      </c>
      <c r="I55" s="5">
        <v>1</v>
      </c>
      <c r="J55" s="5">
        <v>7</v>
      </c>
      <c r="K55" s="4">
        <f t="shared" si="10"/>
        <v>139.42857142857142</v>
      </c>
      <c r="L55" s="4">
        <f t="shared" si="9"/>
        <v>8.6298182857361128E-2</v>
      </c>
    </row>
    <row r="56" spans="1:12">
      <c r="A56" t="s">
        <v>14</v>
      </c>
      <c r="B56" t="s">
        <v>31</v>
      </c>
      <c r="C56" t="s">
        <v>32</v>
      </c>
      <c r="D56" t="s">
        <v>35</v>
      </c>
      <c r="E56" s="1" t="s">
        <v>26</v>
      </c>
      <c r="F56" s="1">
        <v>0</v>
      </c>
      <c r="G56" s="5">
        <v>0</v>
      </c>
      <c r="H56" s="5">
        <v>0</v>
      </c>
      <c r="I56" s="5">
        <v>0</v>
      </c>
      <c r="J56" s="5">
        <v>0</v>
      </c>
      <c r="K56" s="4">
        <f t="shared" si="10"/>
        <v>0</v>
      </c>
      <c r="L56" s="4">
        <f t="shared" si="9"/>
        <v>0</v>
      </c>
    </row>
    <row r="57" spans="1:12">
      <c r="A57" t="s">
        <v>14</v>
      </c>
      <c r="B57" t="s">
        <v>31</v>
      </c>
      <c r="C57" t="s">
        <v>32</v>
      </c>
      <c r="D57" t="s">
        <v>34</v>
      </c>
      <c r="E57" s="1" t="s">
        <v>27</v>
      </c>
      <c r="F57" s="1">
        <v>160</v>
      </c>
      <c r="G57" s="4">
        <v>2.0099999999999998</v>
      </c>
      <c r="H57" s="5"/>
      <c r="I57" s="5"/>
      <c r="J57" s="5"/>
      <c r="K57" s="4">
        <f>F57*G57</f>
        <v>321.59999999999997</v>
      </c>
      <c r="L57" s="4">
        <f>K57/SUM(K$47:K$57)</f>
        <v>0.19905171029558541</v>
      </c>
    </row>
    <row r="58" spans="1:12">
      <c r="A58" t="s">
        <v>14</v>
      </c>
      <c r="B58" t="s">
        <v>31</v>
      </c>
      <c r="C58" t="s">
        <v>16</v>
      </c>
      <c r="D58" t="s">
        <v>34</v>
      </c>
      <c r="E58" s="1" t="s">
        <v>17</v>
      </c>
      <c r="F58" s="1">
        <v>265</v>
      </c>
      <c r="G58" s="4">
        <v>2.94</v>
      </c>
      <c r="H58" s="1">
        <v>1</v>
      </c>
      <c r="I58" s="1">
        <v>0</v>
      </c>
      <c r="J58" s="5">
        <v>19</v>
      </c>
      <c r="K58" s="4">
        <f t="shared" ref="K58:K59" si="11">F58*G58</f>
        <v>779.1</v>
      </c>
      <c r="L58" s="4">
        <f>K58/SUM(K$58:K$68)</f>
        <v>0.28335721553934345</v>
      </c>
    </row>
    <row r="59" spans="1:12">
      <c r="A59" t="s">
        <v>14</v>
      </c>
      <c r="B59" t="s">
        <v>31</v>
      </c>
      <c r="C59" t="s">
        <v>16</v>
      </c>
      <c r="D59" t="s">
        <v>34</v>
      </c>
      <c r="E59" s="1" t="s">
        <v>18</v>
      </c>
      <c r="F59" s="1">
        <f>31+19+13</f>
        <v>63</v>
      </c>
      <c r="G59" s="5">
        <f>(2*3.5+1*3+1*2)/4</f>
        <v>3</v>
      </c>
      <c r="H59" s="5">
        <v>3</v>
      </c>
      <c r="I59" s="5">
        <v>0</v>
      </c>
      <c r="J59" s="5">
        <v>4</v>
      </c>
      <c r="K59" s="4">
        <f t="shared" si="11"/>
        <v>189</v>
      </c>
      <c r="L59" s="4">
        <f t="shared" ref="L59:L68" si="12">K59/SUM(K$58:K$68)</f>
        <v>6.8738947165878472E-2</v>
      </c>
    </row>
    <row r="60" spans="1:12">
      <c r="A60" t="s">
        <v>14</v>
      </c>
      <c r="B60" t="s">
        <v>31</v>
      </c>
      <c r="C60" t="s">
        <v>16</v>
      </c>
      <c r="D60" t="s">
        <v>34</v>
      </c>
      <c r="E60" s="1" t="s">
        <v>19</v>
      </c>
      <c r="F60" s="1">
        <v>0</v>
      </c>
      <c r="G60" s="4">
        <v>0</v>
      </c>
      <c r="H60" s="1">
        <v>0</v>
      </c>
      <c r="I60" s="1">
        <v>0</v>
      </c>
      <c r="J60" s="5">
        <v>0</v>
      </c>
      <c r="K60" s="4">
        <f>F60*G60</f>
        <v>0</v>
      </c>
      <c r="L60" s="4">
        <f t="shared" si="12"/>
        <v>0</v>
      </c>
    </row>
    <row r="61" spans="1:12">
      <c r="A61" t="s">
        <v>14</v>
      </c>
      <c r="B61" t="s">
        <v>31</v>
      </c>
      <c r="C61" t="s">
        <v>16</v>
      </c>
      <c r="D61" t="s">
        <v>34</v>
      </c>
      <c r="E61" s="1" t="s">
        <v>20</v>
      </c>
      <c r="F61" s="1">
        <f>27+26+26</f>
        <v>79</v>
      </c>
      <c r="G61" s="4">
        <f>AVERAGE(1,1.5,1)</f>
        <v>1.1666666666666667</v>
      </c>
      <c r="H61" s="5">
        <v>3</v>
      </c>
      <c r="I61" s="5">
        <v>0</v>
      </c>
      <c r="J61" s="1">
        <f>4+2+4</f>
        <v>10</v>
      </c>
      <c r="K61" s="4">
        <f t="shared" ref="K61:K67" si="13">F61*G61</f>
        <v>92.166666666666671</v>
      </c>
      <c r="L61" s="4">
        <f t="shared" si="12"/>
        <v>3.352084460558271E-2</v>
      </c>
    </row>
    <row r="62" spans="1:12">
      <c r="A62" t="s">
        <v>14</v>
      </c>
      <c r="B62" t="s">
        <v>31</v>
      </c>
      <c r="C62" t="s">
        <v>16</v>
      </c>
      <c r="D62" t="s">
        <v>35</v>
      </c>
      <c r="E62" s="1" t="s">
        <v>21</v>
      </c>
      <c r="F62" s="1">
        <v>0</v>
      </c>
      <c r="G62" s="4">
        <v>0</v>
      </c>
      <c r="H62" s="5">
        <v>0</v>
      </c>
      <c r="I62" s="5">
        <v>0</v>
      </c>
      <c r="J62" s="5">
        <v>0</v>
      </c>
      <c r="K62" s="4">
        <f t="shared" si="13"/>
        <v>0</v>
      </c>
      <c r="L62" s="4">
        <f t="shared" si="12"/>
        <v>0</v>
      </c>
    </row>
    <row r="63" spans="1:12">
      <c r="A63" t="s">
        <v>14</v>
      </c>
      <c r="B63" t="s">
        <v>31</v>
      </c>
      <c r="C63" t="s">
        <v>16</v>
      </c>
      <c r="D63" t="s">
        <v>35</v>
      </c>
      <c r="E63" s="1" t="s">
        <v>22</v>
      </c>
      <c r="F63" s="1">
        <v>107</v>
      </c>
      <c r="G63" s="4">
        <v>3</v>
      </c>
      <c r="H63" s="5">
        <v>3</v>
      </c>
      <c r="I63" s="5">
        <v>0</v>
      </c>
      <c r="J63" s="5">
        <v>7</v>
      </c>
      <c r="K63" s="4">
        <f t="shared" si="13"/>
        <v>321</v>
      </c>
      <c r="L63" s="4">
        <f t="shared" si="12"/>
        <v>0.11674710074204755</v>
      </c>
    </row>
    <row r="64" spans="1:12">
      <c r="A64" t="s">
        <v>14</v>
      </c>
      <c r="B64" t="s">
        <v>31</v>
      </c>
      <c r="C64" t="s">
        <v>16</v>
      </c>
      <c r="D64" t="s">
        <v>35</v>
      </c>
      <c r="E64" s="1" t="s">
        <v>23</v>
      </c>
      <c r="F64" s="1">
        <f>364+8+9+156+46</f>
        <v>583</v>
      </c>
      <c r="G64" s="4">
        <f>(39*1.974+18*2.61)/J64</f>
        <v>2.1748421052631581</v>
      </c>
      <c r="H64" s="5">
        <v>5</v>
      </c>
      <c r="I64" s="5">
        <v>3</v>
      </c>
      <c r="J64" s="5">
        <f>18+39</f>
        <v>57</v>
      </c>
      <c r="K64" s="4">
        <f t="shared" si="13"/>
        <v>1267.9329473684211</v>
      </c>
      <c r="L64" s="4">
        <f t="shared" si="12"/>
        <v>0.46114484592081728</v>
      </c>
    </row>
    <row r="65" spans="1:12">
      <c r="A65" t="s">
        <v>14</v>
      </c>
      <c r="B65" t="s">
        <v>31</v>
      </c>
      <c r="C65" t="s">
        <v>16</v>
      </c>
      <c r="D65" t="s">
        <v>35</v>
      </c>
      <c r="E65" s="1" t="s">
        <v>24</v>
      </c>
      <c r="F65" s="1">
        <v>7</v>
      </c>
      <c r="G65" s="6">
        <v>2</v>
      </c>
      <c r="H65" s="5">
        <v>1</v>
      </c>
      <c r="I65" s="5">
        <v>0</v>
      </c>
      <c r="J65" s="5">
        <v>1</v>
      </c>
      <c r="K65" s="4">
        <f t="shared" si="13"/>
        <v>14</v>
      </c>
      <c r="L65" s="4">
        <f t="shared" si="12"/>
        <v>5.0917738641391456E-3</v>
      </c>
    </row>
    <row r="66" spans="1:12">
      <c r="A66" t="s">
        <v>14</v>
      </c>
      <c r="B66" t="s">
        <v>31</v>
      </c>
      <c r="C66" t="s">
        <v>16</v>
      </c>
      <c r="D66" t="s">
        <v>35</v>
      </c>
      <c r="E66" s="1" t="s">
        <v>25</v>
      </c>
      <c r="F66" s="1">
        <f>7+2+3+15+5+5</f>
        <v>37</v>
      </c>
      <c r="G66" s="4">
        <f>AVERAGE(2,1,3,4,2,2)</f>
        <v>2.3333333333333335</v>
      </c>
      <c r="H66" s="5">
        <v>2</v>
      </c>
      <c r="I66" s="5">
        <v>0</v>
      </c>
      <c r="J66" s="5">
        <v>6</v>
      </c>
      <c r="K66" s="4">
        <f t="shared" si="13"/>
        <v>86.333333333333343</v>
      </c>
      <c r="L66" s="4">
        <f t="shared" si="12"/>
        <v>3.1399272162191405E-2</v>
      </c>
    </row>
    <row r="67" spans="1:12">
      <c r="A67" t="s">
        <v>14</v>
      </c>
      <c r="B67" t="s">
        <v>31</v>
      </c>
      <c r="C67" t="s">
        <v>16</v>
      </c>
      <c r="D67" t="s">
        <v>35</v>
      </c>
      <c r="E67" s="1" t="s">
        <v>26</v>
      </c>
      <c r="F67" s="1">
        <v>0</v>
      </c>
      <c r="G67" s="5">
        <v>0</v>
      </c>
      <c r="H67" s="5">
        <v>0</v>
      </c>
      <c r="I67" s="5">
        <v>0</v>
      </c>
      <c r="J67" s="5">
        <v>0</v>
      </c>
      <c r="K67" s="4">
        <f t="shared" si="13"/>
        <v>0</v>
      </c>
      <c r="L67" s="4">
        <f t="shared" si="12"/>
        <v>0</v>
      </c>
    </row>
    <row r="68" spans="1:12">
      <c r="A68" t="s">
        <v>14</v>
      </c>
      <c r="B68" t="s">
        <v>31</v>
      </c>
      <c r="C68" t="s">
        <v>16</v>
      </c>
      <c r="D68" t="s">
        <v>35</v>
      </c>
      <c r="E68" s="1" t="s">
        <v>27</v>
      </c>
      <c r="F68" s="1">
        <v>0</v>
      </c>
      <c r="G68" s="4">
        <v>0</v>
      </c>
      <c r="H68" s="5">
        <v>0</v>
      </c>
      <c r="I68" s="5">
        <v>0</v>
      </c>
      <c r="J68" s="5">
        <v>0</v>
      </c>
      <c r="K68" s="4">
        <f>F68*G68</f>
        <v>0</v>
      </c>
      <c r="L68" s="4">
        <f t="shared" si="12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CASSIUS Benchmark Treemap</vt:lpstr>
      <vt:lpstr>Sheet2</vt:lpstr>
      <vt:lpstr>Sheet3</vt:lpstr>
    </vt:vector>
  </TitlesOfParts>
  <Company>Bren School of 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Silveira Silva Filho</dc:creator>
  <cp:lastModifiedBy>Roberto Silveira Silva Filho</cp:lastModifiedBy>
  <dcterms:created xsi:type="dcterms:W3CDTF">2009-02-26T06:50:21Z</dcterms:created>
  <dcterms:modified xsi:type="dcterms:W3CDTF">2009-02-26T15:53:07Z</dcterms:modified>
</cp:coreProperties>
</file>