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132" windowWidth="11400" windowHeight="723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08" i="1"/>
  <c r="H108"/>
  <c r="G108"/>
  <c r="F108"/>
  <c r="E108"/>
  <c r="D108"/>
  <c r="C108"/>
  <c r="I105"/>
  <c r="H105"/>
  <c r="G105"/>
  <c r="F105"/>
  <c r="E105"/>
  <c r="D105"/>
  <c r="D106"/>
  <c r="C105"/>
  <c r="H107"/>
  <c r="H104" s="1"/>
  <c r="C110"/>
  <c r="L223" l="1"/>
  <c r="L222"/>
  <c r="H221"/>
  <c r="G221"/>
  <c r="H220"/>
  <c r="G220"/>
  <c r="H219"/>
  <c r="G219"/>
  <c r="H218"/>
  <c r="G218"/>
  <c r="L217"/>
  <c r="K216"/>
  <c r="G216"/>
  <c r="L216" s="1"/>
  <c r="L215"/>
  <c r="G214"/>
  <c r="L214" s="1"/>
  <c r="L213"/>
  <c r="L212"/>
  <c r="L211"/>
  <c r="H210"/>
  <c r="G210"/>
  <c r="G209"/>
  <c r="L209" s="1"/>
  <c r="H208"/>
  <c r="G208"/>
  <c r="K207"/>
  <c r="H207" s="1"/>
  <c r="G207"/>
  <c r="G206"/>
  <c r="L205"/>
  <c r="L204"/>
  <c r="H203"/>
  <c r="G203"/>
  <c r="K202"/>
  <c r="H202" s="1"/>
  <c r="G202"/>
  <c r="L201"/>
  <c r="L200"/>
  <c r="K199"/>
  <c r="H199" s="1"/>
  <c r="G199"/>
  <c r="L198"/>
  <c r="H197"/>
  <c r="G197"/>
  <c r="H196"/>
  <c r="G196"/>
  <c r="H195"/>
  <c r="G195"/>
  <c r="L194"/>
  <c r="K193"/>
  <c r="H193" s="1"/>
  <c r="L193" s="1"/>
  <c r="H192"/>
  <c r="G192"/>
  <c r="H191"/>
  <c r="G191"/>
  <c r="L190"/>
  <c r="L189"/>
  <c r="K188"/>
  <c r="H188" s="1"/>
  <c r="G188"/>
  <c r="L187"/>
  <c r="K186"/>
  <c r="H186" s="1"/>
  <c r="G186"/>
  <c r="H185"/>
  <c r="G185"/>
  <c r="G184"/>
  <c r="L184" s="1"/>
  <c r="L183"/>
  <c r="K182"/>
  <c r="H182" s="1"/>
  <c r="L182" s="1"/>
  <c r="H181"/>
  <c r="G181"/>
  <c r="L181" s="1"/>
  <c r="H180"/>
  <c r="G180"/>
  <c r="L180" s="1"/>
  <c r="L179"/>
  <c r="L178"/>
  <c r="K177"/>
  <c r="H177" s="1"/>
  <c r="G177"/>
  <c r="L177" s="1"/>
  <c r="L176"/>
  <c r="K175"/>
  <c r="H175" s="1"/>
  <c r="G175"/>
  <c r="K174"/>
  <c r="H174" s="1"/>
  <c r="G174"/>
  <c r="L173"/>
  <c r="G173"/>
  <c r="L172"/>
  <c r="K171"/>
  <c r="H171" s="1"/>
  <c r="L171" s="1"/>
  <c r="H170"/>
  <c r="G170"/>
  <c r="H169"/>
  <c r="G169"/>
  <c r="L168"/>
  <c r="G167"/>
  <c r="L167" s="1"/>
  <c r="L186" l="1"/>
  <c r="L199"/>
  <c r="L202"/>
  <c r="L203"/>
  <c r="L210"/>
  <c r="L169"/>
  <c r="L170"/>
  <c r="L174"/>
  <c r="L188"/>
  <c r="L191"/>
  <c r="L192"/>
  <c r="L195"/>
  <c r="L196"/>
  <c r="L197"/>
  <c r="L207"/>
  <c r="L208"/>
  <c r="L218"/>
  <c r="L185"/>
  <c r="L220"/>
  <c r="L175"/>
  <c r="L219"/>
  <c r="L221"/>
  <c r="K166"/>
  <c r="H166" s="1"/>
  <c r="G166"/>
  <c r="L165"/>
  <c r="K164"/>
  <c r="H164" s="1"/>
  <c r="G164"/>
  <c r="K163"/>
  <c r="H163" s="1"/>
  <c r="G163"/>
  <c r="G162"/>
  <c r="L161"/>
  <c r="K160"/>
  <c r="H160" s="1"/>
  <c r="L160" s="1"/>
  <c r="L159"/>
  <c r="L158"/>
  <c r="L163" l="1"/>
  <c r="L164"/>
  <c r="L166"/>
  <c r="L68"/>
  <c r="K68"/>
  <c r="J68"/>
  <c r="F68"/>
  <c r="E68"/>
  <c r="D68"/>
  <c r="H66" l="1"/>
  <c r="B66"/>
  <c r="I65"/>
  <c r="H65"/>
  <c r="N65" s="1"/>
  <c r="G65"/>
  <c r="N64"/>
  <c r="M64"/>
  <c r="G64"/>
  <c r="H63"/>
  <c r="M63" s="1"/>
  <c r="G63"/>
  <c r="H62"/>
  <c r="B62"/>
  <c r="B68" s="1"/>
  <c r="N61"/>
  <c r="M61"/>
  <c r="G61"/>
  <c r="H60"/>
  <c r="G60"/>
  <c r="AW20"/>
  <c r="AV20"/>
  <c r="AU20"/>
  <c r="AQ20"/>
  <c r="H68" l="1"/>
  <c r="O61"/>
  <c r="N62"/>
  <c r="G62"/>
  <c r="M62"/>
  <c r="O63"/>
  <c r="N63" s="1"/>
  <c r="O64"/>
  <c r="G66"/>
  <c r="M65"/>
  <c r="O65" s="1"/>
  <c r="G68"/>
  <c r="M60"/>
  <c r="O60" s="1"/>
  <c r="N60" s="1"/>
  <c r="N66"/>
  <c r="M66" s="1"/>
  <c r="O66" s="1"/>
  <c r="O62" l="1"/>
  <c r="AW19"/>
  <c r="AV19"/>
  <c r="AU19"/>
  <c r="AT19"/>
  <c r="AS19"/>
  <c r="AQ19"/>
  <c r="AJ19"/>
  <c r="AC19"/>
  <c r="V19"/>
  <c r="O19"/>
  <c r="C19"/>
  <c r="H19" s="1"/>
  <c r="AX19" l="1"/>
  <c r="D85"/>
  <c r="G85"/>
  <c r="F85" s="1"/>
  <c r="E85" s="1"/>
  <c r="AW18"/>
  <c r="AV18"/>
  <c r="AU18"/>
  <c r="AM18"/>
  <c r="AL18"/>
  <c r="AF18"/>
  <c r="AT18" s="1"/>
  <c r="AE18"/>
  <c r="AB18"/>
  <c r="Y18" s="1"/>
  <c r="X18"/>
  <c r="U18"/>
  <c r="R18" s="1"/>
  <c r="Q18"/>
  <c r="N18"/>
  <c r="K18" s="1"/>
  <c r="J18"/>
  <c r="G18"/>
  <c r="D18" s="1"/>
  <c r="C18"/>
  <c r="AW17"/>
  <c r="AV17"/>
  <c r="AU17"/>
  <c r="H18" l="1"/>
  <c r="O18"/>
  <c r="V18"/>
  <c r="AC18"/>
  <c r="F84" s="1"/>
  <c r="AJ18"/>
  <c r="AS18"/>
  <c r="AX18" s="1"/>
  <c r="C85"/>
  <c r="AQ18"/>
  <c r="AM17"/>
  <c r="AT17" s="1"/>
  <c r="AL17"/>
  <c r="AE17"/>
  <c r="AC17"/>
  <c r="V17"/>
  <c r="O17"/>
  <c r="H17"/>
  <c r="AV16"/>
  <c r="AU16"/>
  <c r="AP16"/>
  <c r="AW16" s="1"/>
  <c r="AM16"/>
  <c r="AL16"/>
  <c r="AF16"/>
  <c r="AE16"/>
  <c r="Y16"/>
  <c r="X16"/>
  <c r="U16"/>
  <c r="R16" s="1"/>
  <c r="Q16"/>
  <c r="N16"/>
  <c r="K16" s="1"/>
  <c r="J16"/>
  <c r="G16"/>
  <c r="D16" s="1"/>
  <c r="C16"/>
  <c r="AV15"/>
  <c r="AU15"/>
  <c r="AM15"/>
  <c r="AL15"/>
  <c r="AI15"/>
  <c r="AF15" s="1"/>
  <c r="AJ15" s="1"/>
  <c r="AE15"/>
  <c r="Y15"/>
  <c r="X15"/>
  <c r="R15"/>
  <c r="Q15"/>
  <c r="N15"/>
  <c r="K15" s="1"/>
  <c r="J15"/>
  <c r="G15"/>
  <c r="D15" s="1"/>
  <c r="C15"/>
  <c r="AW14"/>
  <c r="AV14"/>
  <c r="AU14"/>
  <c r="AT14"/>
  <c r="AQ14"/>
  <c r="AE14"/>
  <c r="AS14" s="1"/>
  <c r="AX14" s="1"/>
  <c r="Y14"/>
  <c r="X14"/>
  <c r="Q14"/>
  <c r="V14" s="1"/>
  <c r="J14"/>
  <c r="O14" s="1"/>
  <c r="C14"/>
  <c r="AV13"/>
  <c r="AU13"/>
  <c r="AP13"/>
  <c r="AW13" s="1"/>
  <c r="AL13"/>
  <c r="AS13" s="1"/>
  <c r="AJ13"/>
  <c r="AC13"/>
  <c r="V13"/>
  <c r="O13"/>
  <c r="H13"/>
  <c r="AW12"/>
  <c r="AV12"/>
  <c r="AU12"/>
  <c r="AT12"/>
  <c r="AS12"/>
  <c r="AQ12"/>
  <c r="AJ12"/>
  <c r="AB12"/>
  <c r="Y12" s="1"/>
  <c r="E84" l="1"/>
  <c r="D84" s="1"/>
  <c r="C84" s="1"/>
  <c r="AC14"/>
  <c r="F80" s="1"/>
  <c r="H15"/>
  <c r="O15"/>
  <c r="V15"/>
  <c r="AC15"/>
  <c r="F81" s="1"/>
  <c r="AS17"/>
  <c r="AX17" s="1"/>
  <c r="AX12"/>
  <c r="G76" s="1"/>
  <c r="AQ15"/>
  <c r="H16"/>
  <c r="D82" s="1"/>
  <c r="O16"/>
  <c r="V16"/>
  <c r="AC16"/>
  <c r="AJ16"/>
  <c r="AS16"/>
  <c r="AQ17"/>
  <c r="C81"/>
  <c r="AT13"/>
  <c r="AX13" s="1"/>
  <c r="AQ16"/>
  <c r="H84"/>
  <c r="G84" s="1"/>
  <c r="AT15"/>
  <c r="AS15" s="1"/>
  <c r="AX15" s="1"/>
  <c r="AT16"/>
  <c r="X12"/>
  <c r="AC12" s="1"/>
  <c r="U12"/>
  <c r="R12" s="1"/>
  <c r="Q12"/>
  <c r="N12"/>
  <c r="K12" s="1"/>
  <c r="J12"/>
  <c r="G12"/>
  <c r="D12" s="1"/>
  <c r="H12" s="1"/>
  <c r="AW11"/>
  <c r="AV11"/>
  <c r="AU11"/>
  <c r="AL11"/>
  <c r="AF11"/>
  <c r="AT11" s="1"/>
  <c r="AE11"/>
  <c r="Y11"/>
  <c r="X11"/>
  <c r="R11"/>
  <c r="Q11"/>
  <c r="K11"/>
  <c r="J11"/>
  <c r="H11"/>
  <c r="AV10"/>
  <c r="AU10"/>
  <c r="AQ10"/>
  <c r="AI10"/>
  <c r="AF10" s="1"/>
  <c r="AE10"/>
  <c r="Y10"/>
  <c r="X10"/>
  <c r="R10"/>
  <c r="Q10"/>
  <c r="K10"/>
  <c r="J10"/>
  <c r="H10"/>
  <c r="E81" l="1"/>
  <c r="D81" s="1"/>
  <c r="O10"/>
  <c r="V10"/>
  <c r="AC10"/>
  <c r="F77" s="1"/>
  <c r="AJ10"/>
  <c r="I77" s="1"/>
  <c r="AX16"/>
  <c r="C82"/>
  <c r="AT10"/>
  <c r="AS10" s="1"/>
  <c r="AX10" s="1"/>
  <c r="O11"/>
  <c r="V11"/>
  <c r="E75" s="1"/>
  <c r="D75" s="1"/>
  <c r="AC11"/>
  <c r="AJ11"/>
  <c r="I75" s="1"/>
  <c r="AS11"/>
  <c r="O12"/>
  <c r="V12"/>
  <c r="C77"/>
  <c r="E77"/>
  <c r="C75"/>
  <c r="O68" s="1"/>
  <c r="N68" s="1"/>
  <c r="M68" s="1"/>
  <c r="F75"/>
  <c r="AX11"/>
  <c r="D77"/>
  <c r="H77"/>
  <c r="E80"/>
  <c r="AW10"/>
  <c r="F76"/>
  <c r="E76" s="1"/>
  <c r="D76" s="1"/>
  <c r="AW15"/>
  <c r="AW8"/>
  <c r="AO8"/>
  <c r="AV8" s="1"/>
  <c r="AN8"/>
  <c r="AM8"/>
  <c r="AL8"/>
  <c r="AG8"/>
  <c r="AF8"/>
  <c r="AF20" s="1"/>
  <c r="AE8"/>
  <c r="AB8"/>
  <c r="AA8"/>
  <c r="Z8"/>
  <c r="Y8" s="1"/>
  <c r="Y20" s="1"/>
  <c r="X8"/>
  <c r="X20" s="1"/>
  <c r="U8"/>
  <c r="T8"/>
  <c r="S8"/>
  <c r="R8" s="1"/>
  <c r="Q8"/>
  <c r="N8"/>
  <c r="M8"/>
  <c r="L8"/>
  <c r="K8" s="1"/>
  <c r="J8"/>
  <c r="J20" s="1"/>
  <c r="G8"/>
  <c r="F8"/>
  <c r="E8"/>
  <c r="D8" s="1"/>
  <c r="D20" s="1"/>
  <c r="C8"/>
  <c r="G77" l="1"/>
  <c r="K77" s="1"/>
  <c r="V8"/>
  <c r="AC20"/>
  <c r="AC22" s="1"/>
  <c r="AD20" s="1"/>
  <c r="AT8"/>
  <c r="AU8"/>
  <c r="C20"/>
  <c r="H8"/>
  <c r="AQ8"/>
  <c r="AS8"/>
  <c r="AX8" s="1"/>
  <c r="AE20"/>
  <c r="AT20"/>
  <c r="C76"/>
  <c r="G75"/>
  <c r="G106" s="1"/>
  <c r="O8"/>
  <c r="AC8"/>
  <c r="AJ8"/>
  <c r="E106" l="1"/>
  <c r="AS20"/>
  <c r="AJ20"/>
  <c r="M195"/>
  <c r="M198"/>
  <c r="M200"/>
  <c r="M191"/>
  <c r="M201"/>
  <c r="M193"/>
  <c r="M194"/>
  <c r="M192"/>
  <c r="M197"/>
  <c r="M199"/>
  <c r="M196"/>
  <c r="AD19"/>
  <c r="AD18"/>
  <c r="AD17"/>
  <c r="AD13"/>
  <c r="AD14"/>
  <c r="AD15"/>
  <c r="AD16"/>
  <c r="AD11"/>
  <c r="AD10"/>
  <c r="AD12"/>
  <c r="F106" l="1"/>
  <c r="F91"/>
  <c r="AD22"/>
  <c r="I79"/>
  <c r="H79" s="1"/>
  <c r="C106" l="1"/>
  <c r="I76"/>
  <c r="I106" s="1"/>
  <c r="E82"/>
  <c r="E83"/>
  <c r="F82"/>
  <c r="F83"/>
  <c r="G80"/>
  <c r="G81"/>
  <c r="G82"/>
  <c r="G83"/>
  <c r="AQ13"/>
  <c r="H78" s="1"/>
  <c r="AJ14"/>
  <c r="I80" s="1"/>
  <c r="I81"/>
  <c r="I82"/>
  <c r="AJ17"/>
  <c r="I83" s="1"/>
  <c r="I84"/>
  <c r="K84" s="1"/>
  <c r="I85"/>
  <c r="G78"/>
  <c r="AX20"/>
  <c r="G79" s="1"/>
  <c r="H80"/>
  <c r="H81"/>
  <c r="H82"/>
  <c r="H83"/>
  <c r="H85"/>
  <c r="F78"/>
  <c r="F79"/>
  <c r="C80"/>
  <c r="C83"/>
  <c r="AQ11"/>
  <c r="H75" s="1"/>
  <c r="H76"/>
  <c r="K76" s="1"/>
  <c r="I78"/>
  <c r="H14"/>
  <c r="D80" s="1"/>
  <c r="D83"/>
  <c r="E78"/>
  <c r="Q20"/>
  <c r="R20"/>
  <c r="C78"/>
  <c r="K20"/>
  <c r="O20" s="1"/>
  <c r="D78"/>
  <c r="H20"/>
  <c r="D79" s="1"/>
  <c r="AQ22"/>
  <c r="AR11" s="1"/>
  <c r="H89" s="1"/>
  <c r="K81"/>
  <c r="K85"/>
  <c r="F90"/>
  <c r="F89"/>
  <c r="F99"/>
  <c r="F98"/>
  <c r="F97"/>
  <c r="F96"/>
  <c r="F95"/>
  <c r="F94"/>
  <c r="F93"/>
  <c r="F92"/>
  <c r="L162"/>
  <c r="M220"/>
  <c r="L206"/>
  <c r="K82" l="1"/>
  <c r="M217"/>
  <c r="V20"/>
  <c r="C107"/>
  <c r="D107"/>
  <c r="G107"/>
  <c r="F107"/>
  <c r="F104" s="1"/>
  <c r="M215"/>
  <c r="M214"/>
  <c r="M219"/>
  <c r="F100"/>
  <c r="H106"/>
  <c r="K75"/>
  <c r="E79"/>
  <c r="K79" s="1"/>
  <c r="V22"/>
  <c r="D104"/>
  <c r="K83"/>
  <c r="M222"/>
  <c r="M213"/>
  <c r="M216"/>
  <c r="M218"/>
  <c r="M223"/>
  <c r="M221"/>
  <c r="K78"/>
  <c r="H22"/>
  <c r="AX22"/>
  <c r="AY11" s="1"/>
  <c r="G89" s="1"/>
  <c r="AJ22"/>
  <c r="M206" s="1"/>
  <c r="E107"/>
  <c r="C79"/>
  <c r="O22"/>
  <c r="K80"/>
  <c r="I107"/>
  <c r="W19"/>
  <c r="E99" s="1"/>
  <c r="W17"/>
  <c r="E97" s="1"/>
  <c r="W15"/>
  <c r="E95" s="1"/>
  <c r="W13"/>
  <c r="E92" s="1"/>
  <c r="W11"/>
  <c r="E89" s="1"/>
  <c r="W10"/>
  <c r="I18"/>
  <c r="D98" s="1"/>
  <c r="I16"/>
  <c r="D96" s="1"/>
  <c r="I13"/>
  <c r="D92" s="1"/>
  <c r="I11"/>
  <c r="D89" s="1"/>
  <c r="I20"/>
  <c r="D93" s="1"/>
  <c r="C104"/>
  <c r="AY19"/>
  <c r="G99" s="1"/>
  <c r="AY17"/>
  <c r="G97" s="1"/>
  <c r="AY15"/>
  <c r="G95" s="1"/>
  <c r="AY20"/>
  <c r="G93" s="1"/>
  <c r="AY10"/>
  <c r="AR19"/>
  <c r="H99" s="1"/>
  <c r="AR18"/>
  <c r="H98" s="1"/>
  <c r="AR17"/>
  <c r="H97" s="1"/>
  <c r="AR16"/>
  <c r="H96" s="1"/>
  <c r="AR15"/>
  <c r="H95" s="1"/>
  <c r="AR14"/>
  <c r="H94" s="1"/>
  <c r="AR20"/>
  <c r="H93" s="1"/>
  <c r="AR13"/>
  <c r="H92" s="1"/>
  <c r="AR10"/>
  <c r="AR12"/>
  <c r="H90" s="1"/>
  <c r="AK19"/>
  <c r="I99" s="1"/>
  <c r="AK18"/>
  <c r="I98" s="1"/>
  <c r="AK17"/>
  <c r="I97" s="1"/>
  <c r="AK16"/>
  <c r="I96" s="1"/>
  <c r="AK15"/>
  <c r="I95" s="1"/>
  <c r="AK14"/>
  <c r="I94" s="1"/>
  <c r="AK20"/>
  <c r="I93" s="1"/>
  <c r="AK13"/>
  <c r="I92" s="1"/>
  <c r="AK10"/>
  <c r="AK12"/>
  <c r="I90" s="1"/>
  <c r="AY12" l="1"/>
  <c r="G90" s="1"/>
  <c r="AY13"/>
  <c r="G92" s="1"/>
  <c r="AY14"/>
  <c r="G94" s="1"/>
  <c r="AY16"/>
  <c r="G96" s="1"/>
  <c r="AY18"/>
  <c r="G98" s="1"/>
  <c r="E104"/>
  <c r="AK11"/>
  <c r="I89" s="1"/>
  <c r="M209"/>
  <c r="M204"/>
  <c r="M205"/>
  <c r="M210"/>
  <c r="M211"/>
  <c r="M207"/>
  <c r="M202"/>
  <c r="M208"/>
  <c r="M203"/>
  <c r="M212"/>
  <c r="I14"/>
  <c r="D94" s="1"/>
  <c r="I12"/>
  <c r="D90" s="1"/>
  <c r="I17"/>
  <c r="D97" s="1"/>
  <c r="M166"/>
  <c r="M163"/>
  <c r="M161"/>
  <c r="M167"/>
  <c r="M168"/>
  <c r="I10"/>
  <c r="D91" s="1"/>
  <c r="I15"/>
  <c r="D95" s="1"/>
  <c r="I19"/>
  <c r="D99" s="1"/>
  <c r="M164"/>
  <c r="M160"/>
  <c r="M159"/>
  <c r="M165"/>
  <c r="M158"/>
  <c r="W20"/>
  <c r="E93" s="1"/>
  <c r="W12"/>
  <c r="E90" s="1"/>
  <c r="W16"/>
  <c r="E96" s="1"/>
  <c r="M187"/>
  <c r="M180"/>
  <c r="M184"/>
  <c r="M186"/>
  <c r="M189"/>
  <c r="W14"/>
  <c r="E94" s="1"/>
  <c r="W18"/>
  <c r="E98" s="1"/>
  <c r="M185"/>
  <c r="M183"/>
  <c r="M188"/>
  <c r="M190"/>
  <c r="M181"/>
  <c r="M182"/>
  <c r="D100"/>
  <c r="M162"/>
  <c r="AK22"/>
  <c r="I91"/>
  <c r="I100" s="1"/>
  <c r="H91"/>
  <c r="H100" s="1"/>
  <c r="AR22"/>
  <c r="G91"/>
  <c r="G100" s="1"/>
  <c r="AY22"/>
  <c r="I104"/>
  <c r="P11"/>
  <c r="C89" s="1"/>
  <c r="P13"/>
  <c r="C92" s="1"/>
  <c r="K92" s="1"/>
  <c r="P15"/>
  <c r="C95" s="1"/>
  <c r="K95" s="1"/>
  <c r="P17"/>
  <c r="C97" s="1"/>
  <c r="K97" s="1"/>
  <c r="P19"/>
  <c r="C99" s="1"/>
  <c r="K99" s="1"/>
  <c r="M175"/>
  <c r="M171"/>
  <c r="M174"/>
  <c r="M170"/>
  <c r="M176"/>
  <c r="M179"/>
  <c r="P10"/>
  <c r="P12"/>
  <c r="C90" s="1"/>
  <c r="K90" s="1"/>
  <c r="P14"/>
  <c r="C94" s="1"/>
  <c r="K94" s="1"/>
  <c r="P16"/>
  <c r="C96" s="1"/>
  <c r="K96" s="1"/>
  <c r="P18"/>
  <c r="C98" s="1"/>
  <c r="K98" s="1"/>
  <c r="M173"/>
  <c r="M169"/>
  <c r="M177"/>
  <c r="M172"/>
  <c r="M178"/>
  <c r="P20"/>
  <c r="C93" s="1"/>
  <c r="K93" s="1"/>
  <c r="I22"/>
  <c r="E91"/>
  <c r="W22"/>
  <c r="E100"/>
  <c r="K86"/>
  <c r="P22" l="1"/>
  <c r="C91"/>
  <c r="K91" s="1"/>
  <c r="G104"/>
  <c r="K89"/>
  <c r="C100"/>
</calcChain>
</file>

<file path=xl/sharedStrings.xml><?xml version="1.0" encoding="utf-8"?>
<sst xmlns="http://schemas.openxmlformats.org/spreadsheetml/2006/main" count="575" uniqueCount="89">
  <si>
    <t>EDEM Benchmark Concern Analysis</t>
  </si>
  <si>
    <t>CONCERN</t>
  </si>
  <si>
    <t>LOC</t>
  </si>
  <si>
    <t>CC</t>
  </si>
  <si>
    <t>#Classes</t>
  </si>
  <si>
    <t>#Methods</t>
  </si>
  <si>
    <t>Adaptation</t>
  </si>
  <si>
    <t>Distribution</t>
  </si>
  <si>
    <t>Factory</t>
  </si>
  <si>
    <t>Glue</t>
  </si>
  <si>
    <t>Event</t>
  </si>
  <si>
    <t>Notification</t>
  </si>
  <si>
    <t>Publication</t>
  </si>
  <si>
    <t>Subscription</t>
  </si>
  <si>
    <t>Routing</t>
  </si>
  <si>
    <t>BFS</t>
  </si>
  <si>
    <t>INFRASTRUCTURE</t>
  </si>
  <si>
    <t>#Interf</t>
  </si>
  <si>
    <t>LOC*CC</t>
  </si>
  <si>
    <t>TOTAL</t>
  </si>
  <si>
    <t>Percent</t>
  </si>
  <si>
    <t>Siena</t>
  </si>
  <si>
    <t>Common code is marked in bold.</t>
  </si>
  <si>
    <t>Conf &amp; Connect</t>
  </si>
  <si>
    <t>CORBA-NS</t>
  </si>
  <si>
    <t>JavaSpaces</t>
  </si>
  <si>
    <t>Protocol (TS)</t>
  </si>
  <si>
    <t>YANCEES (client)</t>
  </si>
  <si>
    <t>YANCEES (server)</t>
  </si>
  <si>
    <t>GLOSSARY</t>
  </si>
  <si>
    <t>Conversion between different data formats (e.g. Event, subscription)</t>
  </si>
  <si>
    <t>Configuration costs (e.g. initializing infrastructure components); and costs of connecting to the server</t>
  </si>
  <si>
    <t>RMI and multihreading layer necessary to support distribution and multiple users</t>
  </si>
  <si>
    <t>Creation of basic subscription language components: Filters, Patterns, Rules, Tuple filters</t>
  </si>
  <si>
    <t>Event representation (data structure)</t>
  </si>
  <si>
    <t>Code used to generate notifications (wrapping results, for example).</t>
  </si>
  <si>
    <t>Other kinds of interaction with the infrastructure other than publish/subscribe of events. In this case, the protocol is the tuple space manipulation</t>
  </si>
  <si>
    <t>Posting subscriptions and publication-time features such as filtering</t>
  </si>
  <si>
    <t>The routing of events based on subscriptions.</t>
  </si>
  <si>
    <t>Posting, parsing subscriptions and interacting with the infrastructure. Includes the implementation of filter, pattern, rule, guard, action interfaces</t>
  </si>
  <si>
    <t>High adaptation here comes from the fact that the subscriptions are</t>
  </si>
  <si>
    <t>represented as XML, requiring parsing from the API that uses Objects.</t>
  </si>
  <si>
    <t>YANCEES (clien+server)</t>
  </si>
  <si>
    <t>Proj Total</t>
  </si>
  <si>
    <t>Is the remaining of the code (the difference between the code in the concerns and the total code size). It includes, for example, the code used to define interfaces and a like</t>
  </si>
  <si>
    <t>Thread &amp; Distrib.</t>
  </si>
  <si>
    <t>Benchmark</t>
  </si>
  <si>
    <t>Infrastructure</t>
  </si>
  <si>
    <t>Side</t>
  </si>
  <si>
    <t>Type</t>
  </si>
  <si>
    <t>Ratio</t>
  </si>
  <si>
    <t>STRING</t>
  </si>
  <si>
    <t>INTEGER</t>
  </si>
  <si>
    <t>FLOAT</t>
  </si>
  <si>
    <t>Server</t>
  </si>
  <si>
    <t>Accidental</t>
  </si>
  <si>
    <t>Thread &amp; Distrib</t>
  </si>
  <si>
    <t>Essential</t>
  </si>
  <si>
    <t>YANCEES</t>
  </si>
  <si>
    <t>Client</t>
  </si>
  <si>
    <t>EDEM</t>
  </si>
  <si>
    <t>Total</t>
  </si>
  <si>
    <t>YANCEES(Client)</t>
  </si>
  <si>
    <t>YANCEES(Client+Server)</t>
  </si>
  <si>
    <t>YANCEES(Server)</t>
  </si>
  <si>
    <t>Collection of all the metrics in the form readable by the treemap</t>
  </si>
  <si>
    <t>Middleware</t>
  </si>
  <si>
    <t>Domain</t>
  </si>
  <si>
    <t>Concern</t>
  </si>
  <si>
    <t>Analysis of Individual components</t>
  </si>
  <si>
    <t>Server-side</t>
  </si>
  <si>
    <t>Component</t>
  </si>
  <si>
    <t>Guard</t>
  </si>
  <si>
    <t>Pattern</t>
  </si>
  <si>
    <t>Rule</t>
  </si>
  <si>
    <t>StateFilter</t>
  </si>
  <si>
    <t>TupleSpace</t>
  </si>
  <si>
    <t>Difference</t>
  </si>
  <si>
    <t>Analysis of concerns</t>
  </si>
  <si>
    <t>Cont.Based.Routing</t>
  </si>
  <si>
    <t>Hence, the parsing of parameters increases the size of plug-ins in 20% in the case of EDEM</t>
  </si>
  <si>
    <t>Reusability Effort Main Concerns (LOC*CC)</t>
  </si>
  <si>
    <t>Domain (reusing CBR)</t>
  </si>
  <si>
    <t>We add the cost of CBR here</t>
  </si>
  <si>
    <t>original costs, no adding</t>
  </si>
  <si>
    <t>The difference beween BFS and YANCEES server components is mostly related to parsiong of XML in order to extract parameters and the Factories to activate the plugins.</t>
  </si>
  <si>
    <t>YANCEES Server Factory</t>
  </si>
  <si>
    <t>factory cost for 5 plugins</t>
  </si>
  <si>
    <t>Others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</si>
</sst>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4" xfId="0" applyBorder="1"/>
    <xf numFmtId="2" fontId="0" fillId="0" borderId="0" xfId="0" applyNumberFormat="1" applyBorder="1"/>
    <xf numFmtId="0" fontId="0" fillId="0" borderId="0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10" fontId="0" fillId="0" borderId="8" xfId="0" applyNumberForma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5" xfId="0" applyBorder="1"/>
    <xf numFmtId="2" fontId="0" fillId="0" borderId="0" xfId="0" applyNumberFormat="1" applyFont="1" applyBorder="1"/>
    <xf numFmtId="10" fontId="0" fillId="0" borderId="5" xfId="0" applyNumberFormat="1" applyFont="1" applyBorder="1"/>
    <xf numFmtId="0" fontId="1" fillId="0" borderId="4" xfId="0" applyFont="1" applyBorder="1"/>
    <xf numFmtId="2" fontId="1" fillId="0" borderId="0" xfId="0" applyNumberFormat="1" applyFont="1" applyBorder="1"/>
    <xf numFmtId="0" fontId="1" fillId="0" borderId="0" xfId="0" applyFont="1" applyBorder="1"/>
    <xf numFmtId="0" fontId="0" fillId="0" borderId="0" xfId="0" applyFill="1" applyBorder="1"/>
    <xf numFmtId="0" fontId="0" fillId="0" borderId="4" xfId="0" applyFont="1" applyBorder="1"/>
    <xf numFmtId="0" fontId="0" fillId="0" borderId="0" xfId="0" applyFont="1" applyBorder="1"/>
    <xf numFmtId="0" fontId="0" fillId="0" borderId="0" xfId="0" applyFont="1" applyFill="1" applyBorder="1"/>
    <xf numFmtId="2" fontId="0" fillId="0" borderId="0" xfId="0" applyNumberForma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Fill="1" applyBorder="1"/>
    <xf numFmtId="10" fontId="0" fillId="0" borderId="0" xfId="0" applyNumberFormat="1" applyFont="1" applyBorder="1"/>
    <xf numFmtId="0" fontId="1" fillId="0" borderId="0" xfId="0" applyFont="1" applyAlignment="1">
      <alignment horizontal="left"/>
    </xf>
    <xf numFmtId="2" fontId="0" fillId="0" borderId="0" xfId="0" applyNumberFormat="1"/>
    <xf numFmtId="2" fontId="1" fillId="0" borderId="0" xfId="0" applyNumberFormat="1" applyFont="1"/>
    <xf numFmtId="0" fontId="1" fillId="0" borderId="0" xfId="0" applyNumberFormat="1" applyFont="1"/>
    <xf numFmtId="10" fontId="0" fillId="0" borderId="0" xfId="0" applyNumberFormat="1"/>
    <xf numFmtId="10" fontId="0" fillId="0" borderId="2" xfId="0" applyNumberFormat="1" applyBorder="1"/>
    <xf numFmtId="0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3" xfId="0" applyBorder="1"/>
    <xf numFmtId="0" fontId="1" fillId="0" borderId="13" xfId="0" applyFont="1" applyBorder="1" applyAlignment="1">
      <alignment horizontal="center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/>
    <xf numFmtId="0" fontId="0" fillId="0" borderId="13" xfId="0" applyBorder="1"/>
    <xf numFmtId="2" fontId="0" fillId="0" borderId="5" xfId="0" applyNumberFormat="1" applyFont="1" applyBorder="1"/>
    <xf numFmtId="0" fontId="0" fillId="0" borderId="5" xfId="0" applyFont="1" applyBorder="1"/>
    <xf numFmtId="0" fontId="0" fillId="0" borderId="14" xfId="0" applyFill="1" applyBorder="1"/>
    <xf numFmtId="0" fontId="0" fillId="0" borderId="6" xfId="0" applyFont="1" applyBorder="1"/>
    <xf numFmtId="0" fontId="0" fillId="0" borderId="7" xfId="0" applyFont="1" applyBorder="1"/>
    <xf numFmtId="2" fontId="0" fillId="0" borderId="8" xfId="0" applyNumberFormat="1" applyFont="1" applyBorder="1"/>
    <xf numFmtId="2" fontId="0" fillId="0" borderId="7" xfId="0" applyNumberFormat="1" applyFont="1" applyBorder="1"/>
    <xf numFmtId="0" fontId="0" fillId="0" borderId="8" xfId="0" applyFont="1" applyBorder="1"/>
    <xf numFmtId="0" fontId="1" fillId="0" borderId="0" xfId="0" applyFont="1" applyFill="1" applyBorder="1"/>
    <xf numFmtId="0" fontId="0" fillId="0" borderId="7" xfId="0" applyFont="1" applyFill="1" applyBorder="1"/>
    <xf numFmtId="10" fontId="3" fillId="0" borderId="0" xfId="0" applyNumberFormat="1" applyFont="1"/>
    <xf numFmtId="1" fontId="0" fillId="0" borderId="0" xfId="0" applyNumberFormat="1"/>
    <xf numFmtId="10" fontId="1" fillId="0" borderId="0" xfId="0" applyNumberFormat="1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BFS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9003708468218851"/>
                  <c:y val="1.1971200968300021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6598230776708565"/>
                  <c:y val="7.6231946791991315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6.1244288908330898E-2"/>
                  <c:y val="0.1846576933118962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Sheet1!$I$10:$I$20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0.25997033339184616</c:v>
                </c:pt>
                <c:pt idx="3">
                  <c:v>4.6220661028111218E-3</c:v>
                </c:pt>
                <c:pt idx="4">
                  <c:v>1.3797723255058387E-2</c:v>
                </c:pt>
                <c:pt idx="5">
                  <c:v>0.14070519032213546</c:v>
                </c:pt>
                <c:pt idx="6">
                  <c:v>0.13879734074798189</c:v>
                </c:pt>
                <c:pt idx="7">
                  <c:v>1.7118763343744895E-4</c:v>
                </c:pt>
                <c:pt idx="8">
                  <c:v>0.30688879471868696</c:v>
                </c:pt>
                <c:pt idx="9">
                  <c:v>3.2929653168027685E-2</c:v>
                </c:pt>
                <c:pt idx="10">
                  <c:v>0.10211771066001497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EDEM development effort: main concerns (LOC*CC)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Sheet1!$B$107</c:f>
              <c:strCache>
                <c:ptCount val="1"/>
                <c:pt idx="0">
                  <c:v>Domain (reusing CBR)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Sheet1!$C$103:$I$103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Sheet1!$C$107:$I$107</c:f>
              <c:numCache>
                <c:formatCode>0</c:formatCode>
                <c:ptCount val="7"/>
                <c:pt idx="0">
                  <c:v>3699.3904123146172</c:v>
                </c:pt>
                <c:pt idx="1">
                  <c:v>3279.784374145007</c:v>
                </c:pt>
                <c:pt idx="2">
                  <c:v>3890.4748837209304</c:v>
                </c:pt>
                <c:pt idx="3">
                  <c:v>3514.8452431289643</c:v>
                </c:pt>
                <c:pt idx="4">
                  <c:v>5023.1875867552371</c:v>
                </c:pt>
                <c:pt idx="5">
                  <c:v>3801.6310470085468</c:v>
                </c:pt>
                <c:pt idx="6">
                  <c:v>1509.1647712418301</c:v>
                </c:pt>
              </c:numCache>
            </c:numRef>
          </c:val>
        </c:ser>
        <c:ser>
          <c:idx val="1"/>
          <c:order val="1"/>
          <c:tx>
            <c:strRef>
              <c:f>Sheet1!$B$105</c:f>
              <c:strCache>
                <c:ptCount val="1"/>
                <c:pt idx="0">
                  <c:v>Adaptation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YANCEES(Client+Server)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Sheet1!$D$105:$I$105</c:f>
              <c:numCache>
                <c:formatCode>0</c:formatCode>
                <c:ptCount val="6"/>
                <c:pt idx="0">
                  <c:v>137</c:v>
                </c:pt>
                <c:pt idx="1">
                  <c:v>107</c:v>
                </c:pt>
                <c:pt idx="2">
                  <c:v>417</c:v>
                </c:pt>
                <c:pt idx="3">
                  <c:v>684.45333333333326</c:v>
                </c:pt>
                <c:pt idx="4">
                  <c:v>355.5</c:v>
                </c:pt>
                <c:pt idx="5">
                  <c:v>495.11999999999995</c:v>
                </c:pt>
              </c:numCache>
            </c:numRef>
          </c:val>
        </c:ser>
        <c:ser>
          <c:idx val="2"/>
          <c:order val="2"/>
          <c:tx>
            <c:strRef>
              <c:f>Sheet1!$B$106</c:f>
              <c:strCache>
                <c:ptCount val="1"/>
                <c:pt idx="0">
                  <c:v>Middleware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YANCEES(Client+Server)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Sheet1!$C$106:$I$106</c:f>
              <c:numCache>
                <c:formatCode>0</c:formatCode>
                <c:ptCount val="7"/>
                <c:pt idx="0">
                  <c:v>1518.6279999999997</c:v>
                </c:pt>
                <c:pt idx="1">
                  <c:v>1583.6279999999997</c:v>
                </c:pt>
                <c:pt idx="2">
                  <c:v>1566.6279999999997</c:v>
                </c:pt>
                <c:pt idx="3">
                  <c:v>1907.4279999999997</c:v>
                </c:pt>
                <c:pt idx="4">
                  <c:v>62.5</c:v>
                </c:pt>
                <c:pt idx="5">
                  <c:v>0</c:v>
                </c:pt>
                <c:pt idx="6">
                  <c:v>62.5</c:v>
                </c:pt>
              </c:numCache>
            </c:numRef>
          </c:val>
        </c:ser>
        <c:ser>
          <c:idx val="3"/>
          <c:order val="3"/>
          <c:tx>
            <c:strRef>
              <c:f>Sheet1!$B$108</c:f>
              <c:strCache>
                <c:ptCount val="1"/>
                <c:pt idx="0">
                  <c:v>Others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val>
            <c:numRef>
              <c:f>Sheet1!$C$108:$I$108</c:f>
              <c:numCache>
                <c:formatCode>0</c:formatCode>
                <c:ptCount val="7"/>
                <c:pt idx="0">
                  <c:v>596.52504453441281</c:v>
                </c:pt>
                <c:pt idx="1">
                  <c:v>572.01086065573759</c:v>
                </c:pt>
                <c:pt idx="2">
                  <c:v>1312.4225726141078</c:v>
                </c:pt>
                <c:pt idx="3">
                  <c:v>812.27824034334753</c:v>
                </c:pt>
                <c:pt idx="4">
                  <c:v>785.86902439024391</c:v>
                </c:pt>
                <c:pt idx="5">
                  <c:v>0</c:v>
                </c:pt>
                <c:pt idx="6">
                  <c:v>785.86902439024391</c:v>
                </c:pt>
              </c:numCache>
            </c:numRef>
          </c:val>
        </c:ser>
        <c:gapWidth val="75"/>
        <c:overlap val="100"/>
        <c:axId val="128000000"/>
        <c:axId val="128001536"/>
      </c:barChart>
      <c:catAx>
        <c:axId val="128000000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28001536"/>
        <c:crosses val="autoZero"/>
        <c:auto val="1"/>
        <c:lblAlgn val="ctr"/>
        <c:lblOffset val="100"/>
      </c:catAx>
      <c:valAx>
        <c:axId val="128001536"/>
        <c:scaling>
          <c:orientation val="minMax"/>
          <c:max val="7000"/>
        </c:scaling>
        <c:axPos val="b"/>
        <c:majorGridlines/>
        <c:numFmt formatCode="0" sourceLinked="0"/>
        <c:majorTickMark val="none"/>
        <c:tickLblPos val="nextTo"/>
        <c:crossAx val="12800000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EDEM Main reuse concerns (with YANCEES&amp;CBR) (LOC*CC)</a:t>
            </a:r>
          </a:p>
        </c:rich>
      </c:tx>
      <c:layout/>
    </c:title>
    <c:plotArea>
      <c:layout/>
      <c:barChart>
        <c:barDir val="bar"/>
        <c:grouping val="stacked"/>
        <c:ser>
          <c:idx val="3"/>
          <c:order val="0"/>
          <c:tx>
            <c:strRef>
              <c:f>Sheet1!$B$104</c:f>
              <c:strCache>
                <c:ptCount val="1"/>
                <c:pt idx="0">
                  <c:v>Domain</c:v>
                </c:pt>
              </c:strCache>
            </c:strRef>
          </c:tx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YANCEES(Client+Server)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Sheet1!$D$104:$I$104</c:f>
              <c:numCache>
                <c:formatCode>0</c:formatCode>
                <c:ptCount val="6"/>
                <c:pt idx="0">
                  <c:v>3279.784374145007</c:v>
                </c:pt>
                <c:pt idx="1">
                  <c:v>3890.4748837209304</c:v>
                </c:pt>
                <c:pt idx="2">
                  <c:v>3514.8452431289643</c:v>
                </c:pt>
                <c:pt idx="3">
                  <c:v>7046.2958182503762</c:v>
                </c:pt>
                <c:pt idx="4">
                  <c:v>5537.1310470085464</c:v>
                </c:pt>
                <c:pt idx="5">
                  <c:v>1509.1647712418301</c:v>
                </c:pt>
              </c:numCache>
            </c:numRef>
          </c:val>
        </c:ser>
        <c:ser>
          <c:idx val="1"/>
          <c:order val="1"/>
          <c:tx>
            <c:strRef>
              <c:f>Sheet1!$B$105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YANCEES(Client+Server)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Sheet1!$D$105:$I$105</c:f>
              <c:numCache>
                <c:formatCode>0</c:formatCode>
                <c:ptCount val="6"/>
                <c:pt idx="0">
                  <c:v>137</c:v>
                </c:pt>
                <c:pt idx="1">
                  <c:v>107</c:v>
                </c:pt>
                <c:pt idx="2">
                  <c:v>417</c:v>
                </c:pt>
                <c:pt idx="3">
                  <c:v>684.45333333333326</c:v>
                </c:pt>
                <c:pt idx="4">
                  <c:v>355.5</c:v>
                </c:pt>
                <c:pt idx="5">
                  <c:v>495.11999999999995</c:v>
                </c:pt>
              </c:numCache>
            </c:numRef>
          </c:val>
        </c:ser>
        <c:ser>
          <c:idx val="2"/>
          <c:order val="2"/>
          <c:tx>
            <c:strRef>
              <c:f>Sheet1!$B$106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Sheet1!$D$103:$I$103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YANCEES(Client+Server)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Sheet1!$D$106:$I$106</c:f>
              <c:numCache>
                <c:formatCode>0</c:formatCode>
                <c:ptCount val="6"/>
                <c:pt idx="0">
                  <c:v>1583.6279999999997</c:v>
                </c:pt>
                <c:pt idx="1">
                  <c:v>1566.6279999999997</c:v>
                </c:pt>
                <c:pt idx="2">
                  <c:v>1907.4279999999997</c:v>
                </c:pt>
                <c:pt idx="3">
                  <c:v>62.5</c:v>
                </c:pt>
                <c:pt idx="4">
                  <c:v>0</c:v>
                </c:pt>
                <c:pt idx="5">
                  <c:v>62.5</c:v>
                </c:pt>
              </c:numCache>
            </c:numRef>
          </c:val>
        </c:ser>
        <c:gapWidth val="75"/>
        <c:overlap val="100"/>
        <c:axId val="128023168"/>
        <c:axId val="128029056"/>
      </c:barChart>
      <c:catAx>
        <c:axId val="128023168"/>
        <c:scaling>
          <c:orientation val="minMax"/>
        </c:scaling>
        <c:axPos val="l"/>
        <c:majorTickMark val="none"/>
        <c:tickLblPos val="nextTo"/>
        <c:crossAx val="128029056"/>
        <c:crosses val="autoZero"/>
        <c:auto val="1"/>
        <c:lblAlgn val="ctr"/>
        <c:lblOffset val="100"/>
      </c:catAx>
      <c:valAx>
        <c:axId val="128029056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spPr>
          <a:ln w="9525">
            <a:noFill/>
          </a:ln>
        </c:spPr>
        <c:crossAx val="128023168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0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Siena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9003708468218851"/>
                  <c:y val="1.1971200968300021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6925415573053363"/>
                  <c:y val="8.4957950282393058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102629532419559E-2"/>
                  <c:y val="0.1541166810954921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Sheet1!$P$10:$P$20</c:f>
              <c:numCache>
                <c:formatCode>0.00%</c:formatCode>
                <c:ptCount val="11"/>
                <c:pt idx="0">
                  <c:v>1.974006556304464E-2</c:v>
                </c:pt>
                <c:pt idx="1">
                  <c:v>1.1664584196344561E-2</c:v>
                </c:pt>
                <c:pt idx="2">
                  <c:v>0.27252560259886682</c:v>
                </c:pt>
                <c:pt idx="3">
                  <c:v>4.8452888200200481E-3</c:v>
                </c:pt>
                <c:pt idx="4">
                  <c:v>1.4464084403467256E-2</c:v>
                </c:pt>
                <c:pt idx="5">
                  <c:v>0.13213506386263008</c:v>
                </c:pt>
                <c:pt idx="6">
                  <c:v>0.14550055936363393</c:v>
                </c:pt>
                <c:pt idx="7">
                  <c:v>2.8712822637155843E-3</c:v>
                </c:pt>
                <c:pt idx="8">
                  <c:v>0.29360317899993293</c:v>
                </c:pt>
                <c:pt idx="9">
                  <c:v>0</c:v>
                </c:pt>
                <c:pt idx="10">
                  <c:v>0.10265028992834412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CORBA-NS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5855570137066199"/>
                  <c:y val="7.6081131219854084E-3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13588582677165337"/>
                  <c:y val="8.0594948537192748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7.9573976864003124E-2"/>
                  <c:y val="-8.1006170040263295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5.2124769126081473E-2"/>
                  <c:y val="-0.11470331588132636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20818083503450957"/>
                  <c:y val="-1.6541616852867251E-3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0083600661028519E-2"/>
                  <c:y val="0.16720568633109384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Sheet1!$W$10:$W$20</c:f>
              <c:numCache>
                <c:formatCode>0.00%</c:formatCode>
                <c:ptCount val="11"/>
                <c:pt idx="0">
                  <c:v>5.8632937137909388E-2</c:v>
                </c:pt>
                <c:pt idx="1">
                  <c:v>5.8452528100561979E-2</c:v>
                </c:pt>
                <c:pt idx="2">
                  <c:v>0.22831184630735651</c:v>
                </c:pt>
                <c:pt idx="3">
                  <c:v>4.0592033403168042E-3</c:v>
                </c:pt>
                <c:pt idx="4">
                  <c:v>1.2117473675167943E-2</c:v>
                </c:pt>
                <c:pt idx="5">
                  <c:v>0.10282631761236859</c:v>
                </c:pt>
                <c:pt idx="6">
                  <c:v>0.12189497438139972</c:v>
                </c:pt>
                <c:pt idx="7">
                  <c:v>4.0592033403168042E-3</c:v>
                </c:pt>
                <c:pt idx="8">
                  <c:v>0.28752690327244029</c:v>
                </c:pt>
                <c:pt idx="9">
                  <c:v>0</c:v>
                </c:pt>
                <c:pt idx="10">
                  <c:v>0.12211861283216192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JavaSpaces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2213594828424308"/>
                  <c:y val="7.3053139299995878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5055020900165281"/>
                  <c:y val="9.804695551799511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9.0284096432390396E-2"/>
                  <c:y val="0.1672056863310939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Sheet1!$AD$10:$AD$20</c:f>
              <c:numCache>
                <c:formatCode>0.00%</c:formatCode>
                <c:ptCount val="11"/>
                <c:pt idx="0">
                  <c:v>1.1633782279726682E-2</c:v>
                </c:pt>
                <c:pt idx="1">
                  <c:v>6.9802693678360089E-3</c:v>
                </c:pt>
                <c:pt idx="2">
                  <c:v>0.22084234394870961</c:v>
                </c:pt>
                <c:pt idx="3">
                  <c:v>3.926401519407755E-3</c:v>
                </c:pt>
                <c:pt idx="4">
                  <c:v>1.5071036135100472E-2</c:v>
                </c:pt>
                <c:pt idx="5">
                  <c:v>0.11668683626565861</c:v>
                </c:pt>
                <c:pt idx="6">
                  <c:v>0.13413222160239421</c:v>
                </c:pt>
                <c:pt idx="7">
                  <c:v>3.4901346839180045E-3</c:v>
                </c:pt>
                <c:pt idx="8">
                  <c:v>0.29638149333735719</c:v>
                </c:pt>
                <c:pt idx="9">
                  <c:v>0</c:v>
                </c:pt>
                <c:pt idx="10">
                  <c:v>0.1908554808598914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(client)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2769150383979772"/>
                  <c:y val="0.16031317420400967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12416836784290851"/>
                  <c:y val="-0.1113771282516387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13965879265091863"/>
                  <c:y val="-0.17692040785477767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0918999708369789"/>
                  <c:y val="0.18029434802325148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Sheet1!$AK$10:$AK$20</c:f>
              <c:numCache>
                <c:formatCode>0.00%</c:formatCode>
                <c:ptCount val="11"/>
                <c:pt idx="0">
                  <c:v>0.16409982897916878</c:v>
                </c:pt>
                <c:pt idx="1">
                  <c:v>2.1909423462355911E-2</c:v>
                </c:pt>
                <c:pt idx="2">
                  <c:v>0</c:v>
                </c:pt>
                <c:pt idx="3">
                  <c:v>9.4648709357377549E-3</c:v>
                </c:pt>
                <c:pt idx="4">
                  <c:v>2.8254392497054189E-2</c:v>
                </c:pt>
                <c:pt idx="5">
                  <c:v>0.17545066308654614</c:v>
                </c:pt>
                <c:pt idx="6">
                  <c:v>6.6215146464008973E-2</c:v>
                </c:pt>
                <c:pt idx="7">
                  <c:v>4.9077108555677243E-3</c:v>
                </c:pt>
                <c:pt idx="8">
                  <c:v>0.25421096785853087</c:v>
                </c:pt>
                <c:pt idx="9">
                  <c:v>0</c:v>
                </c:pt>
                <c:pt idx="10">
                  <c:v>0.27548699586102976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(server) Development</a:t>
            </a:r>
            <a:r>
              <a:rPr lang="en-US" sz="1400" baseline="0"/>
              <a:t> 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9003708468218851"/>
                  <c:y val="1.1971200968300021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39252551764362925"/>
                  <c:y val="0.2682040235808220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0.18240084572761744"/>
                  <c:y val="8.3022082972613112E-2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22212987265480663"/>
                  <c:y val="1.297185692102623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-0.37855508748121031"/>
                  <c:y val="0.1279386129365408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Sheet1!$AQ$10:$AQ$20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168</c:v>
                </c:pt>
                <c:pt idx="4">
                  <c:v>0</c:v>
                </c:pt>
                <c:pt idx="5">
                  <c:v>260.34749999999997</c:v>
                </c:pt>
                <c:pt idx="6">
                  <c:v>484.13076923076932</c:v>
                </c:pt>
                <c:pt idx="7">
                  <c:v>895.11111111111109</c:v>
                </c:pt>
                <c:pt idx="8">
                  <c:v>2349.5416666666665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(client+ server) </a:t>
            </a:r>
            <a:r>
              <a:rPr lang="en-US" sz="1400" baseline="0"/>
              <a:t>Concerns</a:t>
            </a:r>
            <a:endParaRPr lang="en-US" sz="1400"/>
          </a:p>
        </c:rich>
      </c:tx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0608680859337025"/>
                  <c:y val="1.197111486718614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4436108680859378"/>
                  <c:y val="3.6964931085185032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1.6106493632740363E-2"/>
                  <c:y val="-9.345412320842128E-3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5539491591328861"/>
                  <c:y val="0.13146445699523227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0.13142509964032312"/>
                  <c:y val="9.7912630031193659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0.18651890735880244"/>
                  <c:y val="-7.8408981599813132E-2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21667614464858537"/>
                  <c:y val="-7.1073298429319379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6.1113784388062614E-2"/>
                  <c:y val="0.15847968284069275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Distrib.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Sheet1!$AX$10:$AX$20</c:f>
              <c:numCache>
                <c:formatCode>0.00</c:formatCode>
                <c:ptCount val="11"/>
                <c:pt idx="0">
                  <c:v>468.11999999999995</c:v>
                </c:pt>
                <c:pt idx="1">
                  <c:v>62.5</c:v>
                </c:pt>
                <c:pt idx="2">
                  <c:v>0</c:v>
                </c:pt>
                <c:pt idx="3">
                  <c:v>216.33333333333334</c:v>
                </c:pt>
                <c:pt idx="4">
                  <c:v>80.600000000000009</c:v>
                </c:pt>
                <c:pt idx="5">
                  <c:v>754.49352112676058</c:v>
                </c:pt>
                <c:pt idx="6">
                  <c:v>622.29354838709685</c:v>
                </c:pt>
                <c:pt idx="7">
                  <c:v>876</c:v>
                </c:pt>
                <c:pt idx="8">
                  <c:v>2689.8005172413791</c:v>
                </c:pt>
                <c:pt idx="9">
                  <c:v>0</c:v>
                </c:pt>
                <c:pt idx="10">
                  <c:v>785.86902439024391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EDEM: Contribution of Each Concern to</a:t>
            </a:r>
            <a:r>
              <a:rPr lang="en-US" sz="1200" baseline="0"/>
              <a:t> the Total Development Effort (LOC*CC)</a:t>
            </a:r>
            <a:endParaRPr lang="en-US" sz="1200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Sheet1!$B$77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Sheet1!$C$77:$I$77</c:f>
              <c:numCache>
                <c:formatCode>0.00</c:formatCode>
                <c:ptCount val="7"/>
                <c:pt idx="0">
                  <c:v>110</c:v>
                </c:pt>
                <c:pt idx="1">
                  <c:v>0</c:v>
                </c:pt>
                <c:pt idx="2">
                  <c:v>390</c:v>
                </c:pt>
                <c:pt idx="3">
                  <c:v>80</c:v>
                </c:pt>
                <c:pt idx="4">
                  <c:v>468.11999999999995</c:v>
                </c:pt>
                <c:pt idx="5">
                  <c:v>0</c:v>
                </c:pt>
                <c:pt idx="6">
                  <c:v>468.11999999999995</c:v>
                </c:pt>
              </c:numCache>
            </c:numRef>
          </c:val>
        </c:ser>
        <c:ser>
          <c:idx val="1"/>
          <c:order val="1"/>
          <c:tx>
            <c:strRef>
              <c:f>Sheet1!$B$75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Sheet1!$C$75:$I$75</c:f>
              <c:numCache>
                <c:formatCode>0.00</c:formatCode>
                <c:ptCount val="7"/>
                <c:pt idx="0">
                  <c:v>65</c:v>
                </c:pt>
                <c:pt idx="1">
                  <c:v>0</c:v>
                </c:pt>
                <c:pt idx="2">
                  <c:v>388.8</c:v>
                </c:pt>
                <c:pt idx="3">
                  <c:v>48</c:v>
                </c:pt>
                <c:pt idx="4">
                  <c:v>62.5</c:v>
                </c:pt>
                <c:pt idx="5">
                  <c:v>0</c:v>
                </c:pt>
                <c:pt idx="6">
                  <c:v>62.5</c:v>
                </c:pt>
              </c:numCache>
            </c:numRef>
          </c:val>
        </c:ser>
        <c:ser>
          <c:idx val="2"/>
          <c:order val="2"/>
          <c:tx>
            <c:strRef>
              <c:f>Sheet1!$B$76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Sheet1!$C$76:$I$76</c:f>
              <c:numCache>
                <c:formatCode>0.00</c:formatCode>
                <c:ptCount val="7"/>
                <c:pt idx="0">
                  <c:v>1518.6279999999997</c:v>
                </c:pt>
                <c:pt idx="1">
                  <c:v>1518.6279999999997</c:v>
                </c:pt>
                <c:pt idx="2">
                  <c:v>1518.6279999999997</c:v>
                </c:pt>
                <c:pt idx="3">
                  <c:v>1518.6279999999997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Sheet1!$B$78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Sheet1!$C$78:$I$78</c:f>
              <c:numCache>
                <c:formatCode>0.00</c:formatCode>
                <c:ptCount val="7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216.33333333333334</c:v>
                </c:pt>
                <c:pt idx="5">
                  <c:v>168</c:v>
                </c:pt>
                <c:pt idx="6">
                  <c:v>27</c:v>
                </c:pt>
              </c:numCache>
            </c:numRef>
          </c:val>
        </c:ser>
        <c:ser>
          <c:idx val="10"/>
          <c:order val="4"/>
          <c:tx>
            <c:strRef>
              <c:f>Sheet1!$B$79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Sheet1!$C$79:$I$79</c:f>
              <c:numCache>
                <c:formatCode>0.00</c:formatCode>
                <c:ptCount val="7"/>
                <c:pt idx="0">
                  <c:v>572.01086065573759</c:v>
                </c:pt>
                <c:pt idx="1">
                  <c:v>596.52504453441281</c:v>
                </c:pt>
                <c:pt idx="2">
                  <c:v>812.27824034334753</c:v>
                </c:pt>
                <c:pt idx="3">
                  <c:v>1312.4225726141078</c:v>
                </c:pt>
                <c:pt idx="4">
                  <c:v>785.86902439024391</c:v>
                </c:pt>
                <c:pt idx="5">
                  <c:v>0</c:v>
                </c:pt>
                <c:pt idx="6">
                  <c:v>785.86902439024391</c:v>
                </c:pt>
              </c:numCache>
            </c:numRef>
          </c:val>
        </c:ser>
        <c:ser>
          <c:idx val="4"/>
          <c:order val="5"/>
          <c:tx>
            <c:strRef>
              <c:f>Sheet1!$B$80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Sheet1!$C$80:$I$80</c:f>
              <c:numCache>
                <c:formatCode>0.00</c:formatCode>
                <c:ptCount val="7"/>
                <c:pt idx="0">
                  <c:v>80.600000000000009</c:v>
                </c:pt>
                <c:pt idx="1">
                  <c:v>80.600000000000009</c:v>
                </c:pt>
                <c:pt idx="2">
                  <c:v>80.600000000000009</c:v>
                </c:pt>
                <c:pt idx="3">
                  <c:v>103.63636363636363</c:v>
                </c:pt>
                <c:pt idx="4">
                  <c:v>80.600000000000009</c:v>
                </c:pt>
                <c:pt idx="5">
                  <c:v>0</c:v>
                </c:pt>
                <c:pt idx="6">
                  <c:v>80.600000000000009</c:v>
                </c:pt>
              </c:numCache>
            </c:numRef>
          </c:val>
        </c:ser>
        <c:ser>
          <c:idx val="5"/>
          <c:order val="6"/>
          <c:tx>
            <c:strRef>
              <c:f>Sheet1!$B$81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Sheet1!$C$81:$I$81</c:f>
              <c:numCache>
                <c:formatCode>0.00</c:formatCode>
                <c:ptCount val="7"/>
                <c:pt idx="0">
                  <c:v>736.3125</c:v>
                </c:pt>
                <c:pt idx="1">
                  <c:v>821.9354838709678</c:v>
                </c:pt>
                <c:pt idx="2">
                  <c:v>683.95454545454538</c:v>
                </c:pt>
                <c:pt idx="3">
                  <c:v>802.4</c:v>
                </c:pt>
                <c:pt idx="4">
                  <c:v>754.49352112676058</c:v>
                </c:pt>
                <c:pt idx="5">
                  <c:v>260.34749999999997</c:v>
                </c:pt>
                <c:pt idx="6">
                  <c:v>500.5</c:v>
                </c:pt>
              </c:numCache>
            </c:numRef>
          </c:val>
        </c:ser>
        <c:ser>
          <c:idx val="6"/>
          <c:order val="7"/>
          <c:tx>
            <c:strRef>
              <c:f>Sheet1!$B$82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Sheet1!$C$82:$I$82</c:f>
              <c:numCache>
                <c:formatCode>0.00</c:formatCode>
                <c:ptCount val="7"/>
                <c:pt idx="0">
                  <c:v>810.79069767441877</c:v>
                </c:pt>
                <c:pt idx="1">
                  <c:v>810.79069767441877</c:v>
                </c:pt>
                <c:pt idx="2">
                  <c:v>810.79069767441877</c:v>
                </c:pt>
                <c:pt idx="3">
                  <c:v>922.36363636363637</c:v>
                </c:pt>
                <c:pt idx="4">
                  <c:v>622.29354838709685</c:v>
                </c:pt>
                <c:pt idx="5">
                  <c:v>484.13076923076932</c:v>
                </c:pt>
                <c:pt idx="6">
                  <c:v>188.88888888888889</c:v>
                </c:pt>
              </c:numCache>
            </c:numRef>
          </c:val>
        </c:ser>
        <c:ser>
          <c:idx val="7"/>
          <c:order val="8"/>
          <c:tx>
            <c:strRef>
              <c:f>Sheet1!$B$83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Sheet1!$C$83:$I$83</c:f>
              <c:numCache>
                <c:formatCode>0.00</c:formatCode>
                <c:ptCount val="7"/>
                <c:pt idx="0">
                  <c:v>16</c:v>
                </c:pt>
                <c:pt idx="1">
                  <c:v>1</c:v>
                </c:pt>
                <c:pt idx="2">
                  <c:v>27</c:v>
                </c:pt>
                <c:pt idx="3">
                  <c:v>24</c:v>
                </c:pt>
                <c:pt idx="4">
                  <c:v>876</c:v>
                </c:pt>
                <c:pt idx="5">
                  <c:v>895.11111111111109</c:v>
                </c:pt>
                <c:pt idx="6">
                  <c:v>14</c:v>
                </c:pt>
              </c:numCache>
            </c:numRef>
          </c:val>
        </c:ser>
        <c:ser>
          <c:idx val="8"/>
          <c:order val="9"/>
          <c:tx>
            <c:strRef>
              <c:f>Sheet1!$B$84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Sheet1!$C$84:$I$84</c:f>
              <c:numCache>
                <c:formatCode>0.00</c:formatCode>
                <c:ptCount val="7"/>
                <c:pt idx="0">
                  <c:v>1636.0811764705882</c:v>
                </c:pt>
                <c:pt idx="1">
                  <c:v>1792.7042307692307</c:v>
                </c:pt>
                <c:pt idx="2">
                  <c:v>1912.5</c:v>
                </c:pt>
                <c:pt idx="3">
                  <c:v>2038.0748837209303</c:v>
                </c:pt>
                <c:pt idx="4">
                  <c:v>2689.8005172413791</c:v>
                </c:pt>
                <c:pt idx="5">
                  <c:v>2349.5416666666665</c:v>
                </c:pt>
                <c:pt idx="6">
                  <c:v>725.17588235294113</c:v>
                </c:pt>
              </c:numCache>
            </c:numRef>
          </c:val>
        </c:ser>
        <c:ser>
          <c:idx val="9"/>
          <c:order val="10"/>
          <c:tx>
            <c:strRef>
              <c:f>Sheet1!$B$85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Sheet1!$C$74:$I$74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Sheet1!$C$85:$I$85</c:f>
              <c:numCache>
                <c:formatCode>0.00</c:formatCode>
                <c:ptCount val="7"/>
                <c:pt idx="0">
                  <c:v>0</c:v>
                </c:pt>
                <c:pt idx="1">
                  <c:v>192.36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gapWidth val="55"/>
        <c:overlap val="100"/>
        <c:axId val="112449792"/>
        <c:axId val="127078400"/>
      </c:barChart>
      <c:catAx>
        <c:axId val="112449792"/>
        <c:scaling>
          <c:orientation val="minMax"/>
        </c:scaling>
        <c:axPos val="l"/>
        <c:majorTickMark val="none"/>
        <c:tickLblPos val="nextTo"/>
        <c:crossAx val="127078400"/>
        <c:crosses val="autoZero"/>
        <c:auto val="1"/>
        <c:lblAlgn val="ctr"/>
        <c:lblOffset val="100"/>
      </c:catAx>
      <c:valAx>
        <c:axId val="127078400"/>
        <c:scaling>
          <c:orientation val="minMax"/>
        </c:scaling>
        <c:axPos val="b"/>
        <c:majorGridlines/>
        <c:numFmt formatCode="#,##0" sourceLinked="0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124497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EDEM:</a:t>
            </a:r>
            <a:r>
              <a:rPr lang="en-US" sz="1200" baseline="0"/>
              <a:t> </a:t>
            </a:r>
            <a:r>
              <a:rPr lang="en-US" sz="1200"/>
              <a:t>Relative Contribution of Each Concern to the total reuse effort 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Sheet1!$B$91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Sheet1!$C$91:$I$91</c:f>
              <c:numCache>
                <c:formatCode>0.00%</c:formatCode>
                <c:ptCount val="7"/>
                <c:pt idx="0">
                  <c:v>1.974006556304464E-2</c:v>
                </c:pt>
                <c:pt idx="1">
                  <c:v>0</c:v>
                </c:pt>
                <c:pt idx="2">
                  <c:v>5.8632937137909388E-2</c:v>
                </c:pt>
                <c:pt idx="3">
                  <c:v>1.1633782279726682E-2</c:v>
                </c:pt>
                <c:pt idx="4">
                  <c:v>7.1403186383850778E-2</c:v>
                </c:pt>
                <c:pt idx="5">
                  <c:v>0</c:v>
                </c:pt>
                <c:pt idx="6">
                  <c:v>0.16409982897916878</c:v>
                </c:pt>
              </c:numCache>
            </c:numRef>
          </c:val>
        </c:ser>
        <c:ser>
          <c:idx val="1"/>
          <c:order val="1"/>
          <c:tx>
            <c:strRef>
              <c:f>Sheet1!$B$89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Sheet1!$C$89:$I$89</c:f>
              <c:numCache>
                <c:formatCode>0.00%</c:formatCode>
                <c:ptCount val="7"/>
                <c:pt idx="0">
                  <c:v>1.1664584196344561E-2</c:v>
                </c:pt>
                <c:pt idx="1">
                  <c:v>0</c:v>
                </c:pt>
                <c:pt idx="2">
                  <c:v>5.8452528100561979E-2</c:v>
                </c:pt>
                <c:pt idx="3">
                  <c:v>6.9802693678360089E-3</c:v>
                </c:pt>
                <c:pt idx="4">
                  <c:v>9.5332375224102244E-3</c:v>
                </c:pt>
                <c:pt idx="5">
                  <c:v>0</c:v>
                </c:pt>
                <c:pt idx="6">
                  <c:v>2.1909423462355911E-2</c:v>
                </c:pt>
              </c:numCache>
            </c:numRef>
          </c:val>
        </c:ser>
        <c:ser>
          <c:idx val="2"/>
          <c:order val="2"/>
          <c:tx>
            <c:strRef>
              <c:f>Sheet1!$B$90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Sheet1!$C$90:$I$90</c:f>
              <c:numCache>
                <c:formatCode>0.00%</c:formatCode>
                <c:ptCount val="7"/>
                <c:pt idx="0">
                  <c:v>0.27252560259886682</c:v>
                </c:pt>
                <c:pt idx="1">
                  <c:v>0.25997033339184616</c:v>
                </c:pt>
                <c:pt idx="2">
                  <c:v>0.22831184630735651</c:v>
                </c:pt>
                <c:pt idx="3">
                  <c:v>0.22084234394870961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Sheet1!$B$92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Sheet1!$C$92:$I$92</c:f>
              <c:numCache>
                <c:formatCode>0.00%</c:formatCode>
                <c:ptCount val="7"/>
                <c:pt idx="0">
                  <c:v>4.8452888200200481E-3</c:v>
                </c:pt>
                <c:pt idx="1">
                  <c:v>4.6220661028111218E-3</c:v>
                </c:pt>
                <c:pt idx="2">
                  <c:v>4.0592033403168042E-3</c:v>
                </c:pt>
                <c:pt idx="3">
                  <c:v>3.926401519407755E-3</c:v>
                </c:pt>
                <c:pt idx="4">
                  <c:v>3.2997712810902594E-2</c:v>
                </c:pt>
                <c:pt idx="5">
                  <c:v>4.0412485942893733E-2</c:v>
                </c:pt>
                <c:pt idx="6">
                  <c:v>9.4648709357377549E-3</c:v>
                </c:pt>
              </c:numCache>
            </c:numRef>
          </c:val>
        </c:ser>
        <c:ser>
          <c:idx val="10"/>
          <c:order val="4"/>
          <c:tx>
            <c:strRef>
              <c:f>Sheet1!$B$93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Sheet1!$C$93:$I$93</c:f>
              <c:numCache>
                <c:formatCode>0.00%</c:formatCode>
                <c:ptCount val="7"/>
                <c:pt idx="0">
                  <c:v>0.10265028992834412</c:v>
                </c:pt>
                <c:pt idx="1">
                  <c:v>0.10211771066001497</c:v>
                </c:pt>
                <c:pt idx="2">
                  <c:v>0.12211861283216192</c:v>
                </c:pt>
                <c:pt idx="3">
                  <c:v>0.1908554808598914</c:v>
                </c:pt>
                <c:pt idx="4">
                  <c:v>0.11987001713627182</c:v>
                </c:pt>
                <c:pt idx="5">
                  <c:v>0</c:v>
                </c:pt>
                <c:pt idx="6">
                  <c:v>0.27548699586102976</c:v>
                </c:pt>
              </c:numCache>
            </c:numRef>
          </c:val>
        </c:ser>
        <c:ser>
          <c:idx val="4"/>
          <c:order val="5"/>
          <c:tx>
            <c:strRef>
              <c:f>Sheet1!$B$94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Sheet1!$C$94:$I$94</c:f>
              <c:numCache>
                <c:formatCode>0.00%</c:formatCode>
                <c:ptCount val="7"/>
                <c:pt idx="0">
                  <c:v>1.4464084403467256E-2</c:v>
                </c:pt>
                <c:pt idx="1">
                  <c:v>1.3797723255058387E-2</c:v>
                </c:pt>
                <c:pt idx="2">
                  <c:v>1.2117473675167943E-2</c:v>
                </c:pt>
                <c:pt idx="3">
                  <c:v>1.5071036135100472E-2</c:v>
                </c:pt>
                <c:pt idx="4">
                  <c:v>1.2294063108900227E-2</c:v>
                </c:pt>
                <c:pt idx="5">
                  <c:v>0</c:v>
                </c:pt>
                <c:pt idx="6">
                  <c:v>2.8254392497054189E-2</c:v>
                </c:pt>
              </c:numCache>
            </c:numRef>
          </c:val>
        </c:ser>
        <c:ser>
          <c:idx val="5"/>
          <c:order val="6"/>
          <c:tx>
            <c:strRef>
              <c:f>Sheet1!$B$95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Sheet1!$C$95:$I$95</c:f>
              <c:numCache>
                <c:formatCode>0.00%</c:formatCode>
                <c:ptCount val="7"/>
                <c:pt idx="0">
                  <c:v>0.13213506386263008</c:v>
                </c:pt>
                <c:pt idx="1">
                  <c:v>0.14070519032213546</c:v>
                </c:pt>
                <c:pt idx="2">
                  <c:v>0.10282631761236859</c:v>
                </c:pt>
                <c:pt idx="3">
                  <c:v>0.11668683626565861</c:v>
                </c:pt>
                <c:pt idx="4">
                  <c:v>0.11508425513633673</c:v>
                </c:pt>
                <c:pt idx="5">
                  <c:v>6.2626724309628123E-2</c:v>
                </c:pt>
                <c:pt idx="6">
                  <c:v>0.17545066308654614</c:v>
                </c:pt>
              </c:numCache>
            </c:numRef>
          </c:val>
        </c:ser>
        <c:ser>
          <c:idx val="6"/>
          <c:order val="7"/>
          <c:tx>
            <c:strRef>
              <c:f>Sheet1!$B$96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Sheet1!$C$96:$I$96</c:f>
              <c:numCache>
                <c:formatCode>0.00%</c:formatCode>
                <c:ptCount val="7"/>
                <c:pt idx="0">
                  <c:v>0.14550055936363393</c:v>
                </c:pt>
                <c:pt idx="1">
                  <c:v>0.13879734074798189</c:v>
                </c:pt>
                <c:pt idx="2">
                  <c:v>0.12189497438139972</c:v>
                </c:pt>
                <c:pt idx="3">
                  <c:v>0.13413222160239421</c:v>
                </c:pt>
                <c:pt idx="4">
                  <c:v>9.4919555287002785E-2</c:v>
                </c:pt>
                <c:pt idx="5">
                  <c:v>0.11645790420274284</c:v>
                </c:pt>
                <c:pt idx="6">
                  <c:v>6.6215146464008973E-2</c:v>
                </c:pt>
              </c:numCache>
            </c:numRef>
          </c:val>
        </c:ser>
        <c:ser>
          <c:idx val="7"/>
          <c:order val="8"/>
          <c:tx>
            <c:strRef>
              <c:f>Sheet1!$B$97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Sheet1!$C$97:$I$97</c:f>
              <c:numCache>
                <c:formatCode>0.00%</c:formatCode>
                <c:ptCount val="7"/>
                <c:pt idx="0">
                  <c:v>2.8712822637155843E-3</c:v>
                </c:pt>
                <c:pt idx="1">
                  <c:v>1.7118763343744895E-4</c:v>
                </c:pt>
                <c:pt idx="2">
                  <c:v>4.0592033403168042E-3</c:v>
                </c:pt>
                <c:pt idx="3">
                  <c:v>3.4901346839180045E-3</c:v>
                </c:pt>
                <c:pt idx="4">
                  <c:v>0.13361785711410171</c:v>
                </c:pt>
                <c:pt idx="5">
                  <c:v>0.21531943568515338</c:v>
                </c:pt>
                <c:pt idx="6">
                  <c:v>4.9077108555677243E-3</c:v>
                </c:pt>
              </c:numCache>
            </c:numRef>
          </c:val>
        </c:ser>
        <c:ser>
          <c:idx val="8"/>
          <c:order val="9"/>
          <c:tx>
            <c:strRef>
              <c:f>Sheet1!$B$98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Sheet1!$C$98:$I$98</c:f>
              <c:numCache>
                <c:formatCode>0.00%</c:formatCode>
                <c:ptCount val="7"/>
                <c:pt idx="0">
                  <c:v>0.29360317899993293</c:v>
                </c:pt>
                <c:pt idx="1">
                  <c:v>0.30688879471868696</c:v>
                </c:pt>
                <c:pt idx="2">
                  <c:v>0.28752690327244029</c:v>
                </c:pt>
                <c:pt idx="3">
                  <c:v>0.29638149333735719</c:v>
                </c:pt>
                <c:pt idx="4">
                  <c:v>0.41028011550022314</c:v>
                </c:pt>
                <c:pt idx="5">
                  <c:v>0.56518344985958202</c:v>
                </c:pt>
                <c:pt idx="6">
                  <c:v>0.25421096785853087</c:v>
                </c:pt>
              </c:numCache>
            </c:numRef>
          </c:val>
        </c:ser>
        <c:ser>
          <c:idx val="9"/>
          <c:order val="10"/>
          <c:tx>
            <c:strRef>
              <c:f>Sheet1!$B$99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Sheet1!$C$88:$I$88</c:f>
              <c:strCache>
                <c:ptCount val="7"/>
                <c:pt idx="0">
                  <c:v>Siena</c:v>
                </c:pt>
                <c:pt idx="1">
                  <c:v>BFS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Sheet1!$C$99:$I$99</c:f>
              <c:numCache>
                <c:formatCode>0.00%</c:formatCode>
                <c:ptCount val="7"/>
                <c:pt idx="0">
                  <c:v>0</c:v>
                </c:pt>
                <c:pt idx="1">
                  <c:v>3.2929653168027685E-2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gapWidth val="55"/>
        <c:overlap val="100"/>
        <c:axId val="127539456"/>
        <c:axId val="127545344"/>
      </c:barChart>
      <c:catAx>
        <c:axId val="127539456"/>
        <c:scaling>
          <c:orientation val="minMax"/>
        </c:scaling>
        <c:axPos val="l"/>
        <c:majorTickMark val="none"/>
        <c:tickLblPos val="nextTo"/>
        <c:crossAx val="127545344"/>
        <c:crosses val="autoZero"/>
        <c:auto val="1"/>
        <c:lblAlgn val="ctr"/>
        <c:lblOffset val="100"/>
      </c:catAx>
      <c:valAx>
        <c:axId val="127545344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1275394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</xdr:colOff>
      <xdr:row>23</xdr:row>
      <xdr:rowOff>45720</xdr:rowOff>
    </xdr:from>
    <xdr:to>
      <xdr:col>8</xdr:col>
      <xdr:colOff>548640</xdr:colOff>
      <xdr:row>39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</xdr:colOff>
      <xdr:row>23</xdr:row>
      <xdr:rowOff>38100</xdr:rowOff>
    </xdr:from>
    <xdr:to>
      <xdr:col>15</xdr:col>
      <xdr:colOff>518160</xdr:colOff>
      <xdr:row>39</xdr:row>
      <xdr:rowOff>53340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68580</xdr:colOff>
      <xdr:row>23</xdr:row>
      <xdr:rowOff>49530</xdr:rowOff>
    </xdr:from>
    <xdr:to>
      <xdr:col>22</xdr:col>
      <xdr:colOff>525780</xdr:colOff>
      <xdr:row>39</xdr:row>
      <xdr:rowOff>64770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163830</xdr:colOff>
      <xdr:row>23</xdr:row>
      <xdr:rowOff>59055</xdr:rowOff>
    </xdr:from>
    <xdr:to>
      <xdr:col>30</xdr:col>
      <xdr:colOff>11430</xdr:colOff>
      <xdr:row>39</xdr:row>
      <xdr:rowOff>74295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125730</xdr:colOff>
      <xdr:row>23</xdr:row>
      <xdr:rowOff>59055</xdr:rowOff>
    </xdr:from>
    <xdr:to>
      <xdr:col>36</xdr:col>
      <xdr:colOff>582930</xdr:colOff>
      <xdr:row>39</xdr:row>
      <xdr:rowOff>74295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135255</xdr:colOff>
      <xdr:row>23</xdr:row>
      <xdr:rowOff>68580</xdr:rowOff>
    </xdr:from>
    <xdr:to>
      <xdr:col>43</xdr:col>
      <xdr:colOff>592455</xdr:colOff>
      <xdr:row>39</xdr:row>
      <xdr:rowOff>83820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116205</xdr:colOff>
      <xdr:row>23</xdr:row>
      <xdr:rowOff>40005</xdr:rowOff>
    </xdr:from>
    <xdr:to>
      <xdr:col>50</xdr:col>
      <xdr:colOff>573405</xdr:colOff>
      <xdr:row>39</xdr:row>
      <xdr:rowOff>55245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1171575</xdr:colOff>
      <xdr:row>133</xdr:row>
      <xdr:rowOff>28575</xdr:rowOff>
    </xdr:from>
    <xdr:to>
      <xdr:col>12</xdr:col>
      <xdr:colOff>152400</xdr:colOff>
      <xdr:row>150</xdr:row>
      <xdr:rowOff>114300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352423</xdr:colOff>
      <xdr:row>133</xdr:row>
      <xdr:rowOff>0</xdr:rowOff>
    </xdr:from>
    <xdr:to>
      <xdr:col>22</xdr:col>
      <xdr:colOff>352425</xdr:colOff>
      <xdr:row>150</xdr:row>
      <xdr:rowOff>152400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24493</xdr:colOff>
      <xdr:row>111</xdr:row>
      <xdr:rowOff>28575</xdr:rowOff>
    </xdr:from>
    <xdr:to>
      <xdr:col>12</xdr:col>
      <xdr:colOff>114300</xdr:colOff>
      <xdr:row>131</xdr:row>
      <xdr:rowOff>9525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133350</xdr:colOff>
      <xdr:row>111</xdr:row>
      <xdr:rowOff>0</xdr:rowOff>
    </xdr:from>
    <xdr:to>
      <xdr:col>22</xdr:col>
      <xdr:colOff>438150</xdr:colOff>
      <xdr:row>129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223"/>
  <sheetViews>
    <sheetView tabSelected="1" topLeftCell="B91" zoomScale="80" zoomScaleNormal="80" workbookViewId="0">
      <pane xSplit="1656" activePane="topRight"/>
      <selection activeCell="B108" sqref="A108:XFD108"/>
      <selection pane="topRight" activeCell="M129" sqref="M129"/>
    </sheetView>
  </sheetViews>
  <sheetFormatPr defaultRowHeight="14.4"/>
  <cols>
    <col min="1" max="1" width="15.5546875" customWidth="1"/>
    <col min="2" max="2" width="17.77734375" customWidth="1"/>
    <col min="4" max="4" width="9.88671875" customWidth="1"/>
    <col min="11" max="11" width="11.109375" customWidth="1"/>
    <col min="14" max="14" width="10" customWidth="1"/>
  </cols>
  <sheetData>
    <row r="1" spans="1:51" ht="21">
      <c r="A1" s="2" t="s">
        <v>0</v>
      </c>
      <c r="C1" s="2"/>
      <c r="D1" s="2"/>
      <c r="E1" s="2"/>
      <c r="F1" s="2"/>
      <c r="G1" s="2"/>
    </row>
    <row r="4" spans="1:51">
      <c r="B4" t="s">
        <v>22</v>
      </c>
    </row>
    <row r="6" spans="1:51">
      <c r="A6" s="1" t="s">
        <v>49</v>
      </c>
      <c r="B6" s="1" t="s">
        <v>16</v>
      </c>
      <c r="C6" s="66" t="s">
        <v>15</v>
      </c>
      <c r="D6" s="67"/>
      <c r="E6" s="67"/>
      <c r="F6" s="67"/>
      <c r="G6" s="67"/>
      <c r="H6" s="67"/>
      <c r="I6" s="68"/>
      <c r="J6" s="66" t="s">
        <v>21</v>
      </c>
      <c r="K6" s="67"/>
      <c r="L6" s="67"/>
      <c r="M6" s="67"/>
      <c r="N6" s="67"/>
      <c r="O6" s="67"/>
      <c r="P6" s="68"/>
      <c r="Q6" s="66" t="s">
        <v>24</v>
      </c>
      <c r="R6" s="67"/>
      <c r="S6" s="67"/>
      <c r="T6" s="67"/>
      <c r="U6" s="67"/>
      <c r="V6" s="67"/>
      <c r="W6" s="68"/>
      <c r="X6" s="66" t="s">
        <v>25</v>
      </c>
      <c r="Y6" s="67"/>
      <c r="Z6" s="67"/>
      <c r="AA6" s="67"/>
      <c r="AB6" s="67"/>
      <c r="AC6" s="67"/>
      <c r="AD6" s="68"/>
      <c r="AE6" s="66" t="s">
        <v>27</v>
      </c>
      <c r="AF6" s="67"/>
      <c r="AG6" s="67"/>
      <c r="AH6" s="67"/>
      <c r="AI6" s="67"/>
      <c r="AJ6" s="67"/>
      <c r="AK6" s="68"/>
      <c r="AL6" s="66" t="s">
        <v>28</v>
      </c>
      <c r="AM6" s="67"/>
      <c r="AN6" s="67"/>
      <c r="AO6" s="67"/>
      <c r="AP6" s="67"/>
      <c r="AQ6" s="67"/>
      <c r="AR6" s="68"/>
      <c r="AS6" s="66" t="s">
        <v>42</v>
      </c>
      <c r="AT6" s="67"/>
      <c r="AU6" s="67"/>
      <c r="AV6" s="67"/>
      <c r="AW6" s="67"/>
      <c r="AX6" s="67"/>
      <c r="AY6" s="68"/>
    </row>
    <row r="7" spans="1:51">
      <c r="B7" s="1" t="s">
        <v>1</v>
      </c>
      <c r="C7" s="12" t="s">
        <v>2</v>
      </c>
      <c r="D7" s="13" t="s">
        <v>3</v>
      </c>
      <c r="E7" s="13" t="s">
        <v>4</v>
      </c>
      <c r="F7" s="13" t="s">
        <v>17</v>
      </c>
      <c r="G7" s="13" t="s">
        <v>5</v>
      </c>
      <c r="H7" s="13" t="s">
        <v>18</v>
      </c>
      <c r="I7" s="14" t="s">
        <v>20</v>
      </c>
      <c r="J7" s="12" t="s">
        <v>2</v>
      </c>
      <c r="K7" s="13" t="s">
        <v>3</v>
      </c>
      <c r="L7" s="13" t="s">
        <v>4</v>
      </c>
      <c r="M7" s="13" t="s">
        <v>17</v>
      </c>
      <c r="N7" s="13" t="s">
        <v>5</v>
      </c>
      <c r="O7" s="13" t="s">
        <v>18</v>
      </c>
      <c r="P7" s="14" t="s">
        <v>20</v>
      </c>
      <c r="Q7" s="12" t="s">
        <v>2</v>
      </c>
      <c r="R7" s="13" t="s">
        <v>3</v>
      </c>
      <c r="S7" s="13" t="s">
        <v>4</v>
      </c>
      <c r="T7" s="13" t="s">
        <v>17</v>
      </c>
      <c r="U7" s="13" t="s">
        <v>5</v>
      </c>
      <c r="V7" s="13" t="s">
        <v>18</v>
      </c>
      <c r="W7" s="14" t="s">
        <v>20</v>
      </c>
      <c r="X7" s="12" t="s">
        <v>2</v>
      </c>
      <c r="Y7" s="13" t="s">
        <v>3</v>
      </c>
      <c r="Z7" s="13" t="s">
        <v>4</v>
      </c>
      <c r="AA7" s="13" t="s">
        <v>17</v>
      </c>
      <c r="AB7" s="13" t="s">
        <v>5</v>
      </c>
      <c r="AC7" s="13" t="s">
        <v>18</v>
      </c>
      <c r="AD7" s="14" t="s">
        <v>20</v>
      </c>
      <c r="AE7" s="12" t="s">
        <v>2</v>
      </c>
      <c r="AF7" s="13" t="s">
        <v>3</v>
      </c>
      <c r="AG7" s="13" t="s">
        <v>4</v>
      </c>
      <c r="AH7" s="13" t="s">
        <v>17</v>
      </c>
      <c r="AI7" s="13" t="s">
        <v>5</v>
      </c>
      <c r="AJ7" s="13" t="s">
        <v>18</v>
      </c>
      <c r="AK7" s="14" t="s">
        <v>20</v>
      </c>
      <c r="AL7" s="12" t="s">
        <v>2</v>
      </c>
      <c r="AM7" s="13" t="s">
        <v>3</v>
      </c>
      <c r="AN7" s="13" t="s">
        <v>4</v>
      </c>
      <c r="AO7" s="13" t="s">
        <v>17</v>
      </c>
      <c r="AP7" s="13" t="s">
        <v>5</v>
      </c>
      <c r="AQ7" s="13" t="s">
        <v>18</v>
      </c>
      <c r="AR7" s="14" t="s">
        <v>20</v>
      </c>
      <c r="AS7" s="12" t="s">
        <v>2</v>
      </c>
      <c r="AT7" s="13" t="s">
        <v>3</v>
      </c>
      <c r="AU7" s="13" t="s">
        <v>4</v>
      </c>
      <c r="AV7" s="13" t="s">
        <v>17</v>
      </c>
      <c r="AW7" s="13" t="s">
        <v>5</v>
      </c>
      <c r="AX7" s="13" t="s">
        <v>18</v>
      </c>
      <c r="AY7" s="14" t="s">
        <v>20</v>
      </c>
    </row>
    <row r="8" spans="1:51">
      <c r="B8" s="1" t="s">
        <v>43</v>
      </c>
      <c r="C8" s="26">
        <f>195+1205+357+662+193</f>
        <v>2612</v>
      </c>
      <c r="D8" s="29">
        <f>(2*1+133*2.09+39*2+52*2.34+21*1.952)/G8</f>
        <v>2.1078623481781373</v>
      </c>
      <c r="E8" s="27">
        <f>1+15+6+5+3</f>
        <v>30</v>
      </c>
      <c r="F8" s="27">
        <f>22+5+2+2</f>
        <v>31</v>
      </c>
      <c r="G8" s="27">
        <f>2+133+39+52+21</f>
        <v>247</v>
      </c>
      <c r="H8" s="27">
        <f>G8*C8</f>
        <v>645164</v>
      </c>
      <c r="I8" s="28"/>
      <c r="J8" s="26">
        <f>195+1205+357+662+238+51</f>
        <v>2708</v>
      </c>
      <c r="K8" s="29">
        <f>(2*1+133*2.09+39*2+52*2.34+16*1.95+2*4)/N8</f>
        <v>2.1264344262295078</v>
      </c>
      <c r="L8" s="27">
        <f>1+15+6+5+4+1</f>
        <v>32</v>
      </c>
      <c r="M8" s="27">
        <f>22+5+2+0</f>
        <v>29</v>
      </c>
      <c r="N8" s="27">
        <f>2+133+39+52+16+2</f>
        <v>244</v>
      </c>
      <c r="O8" s="27">
        <f>J8*K8</f>
        <v>5758.384426229507</v>
      </c>
      <c r="P8" s="28"/>
      <c r="Q8" s="26">
        <f>195+1205+357+662+438+92</f>
        <v>2949</v>
      </c>
      <c r="R8" s="29">
        <f>(2*1+133*2.09+39*2+52*2.34+5*2.679+2*6.5)/U8</f>
        <v>2.1718669527896992</v>
      </c>
      <c r="S8" s="27">
        <f>1+15+6+5+5+1</f>
        <v>33</v>
      </c>
      <c r="T8" s="27">
        <f>22+5+2+0</f>
        <v>29</v>
      </c>
      <c r="U8" s="27">
        <f>2+133+39+52+5+2</f>
        <v>233</v>
      </c>
      <c r="V8" s="27">
        <f>Q8*R8</f>
        <v>6404.8356437768234</v>
      </c>
      <c r="W8" s="28"/>
      <c r="X8" s="26">
        <f>195+1205+357+662+554+25</f>
        <v>2998</v>
      </c>
      <c r="Y8" s="29">
        <f>(2*1+133*2.09+39*2+52*2.34+14*2.56+1*1.33)/AB8</f>
        <v>2.1444813278008299</v>
      </c>
      <c r="Z8" s="27">
        <f>1+15+6+5+8+1</f>
        <v>36</v>
      </c>
      <c r="AA8" s="27">
        <f>22+5+2+1</f>
        <v>30</v>
      </c>
      <c r="AB8" s="27">
        <f>2+133+39+52+14+1</f>
        <v>241</v>
      </c>
      <c r="AC8" s="27">
        <f>X8*Y8</f>
        <v>6429.1550207468881</v>
      </c>
      <c r="AD8" s="28"/>
      <c r="AE8" s="26">
        <f>195+(24)+676+681+68</f>
        <v>1644</v>
      </c>
      <c r="AF8" s="29">
        <f>(63*1.98+97*1.45+4*2.5)/AI8</f>
        <v>1.6792073170731707</v>
      </c>
      <c r="AG8" s="27">
        <f>11+3</f>
        <v>14</v>
      </c>
      <c r="AH8" s="27">
        <v>22</v>
      </c>
      <c r="AI8" s="27">
        <v>164</v>
      </c>
      <c r="AJ8" s="27">
        <f>AE8*AF8</f>
        <v>2760.6168292682928</v>
      </c>
      <c r="AK8" s="28"/>
      <c r="AL8" s="26">
        <f>159+157+172+441+225+109</f>
        <v>1263</v>
      </c>
      <c r="AM8" s="29">
        <f>(16*1.44+14*2.28+12*3.5+49*2.16+21*2.05+11*2.09)/AP8</f>
        <v>2.1856910569105694</v>
      </c>
      <c r="AN8" s="27">
        <f>3+2+2+6+3+1</f>
        <v>17</v>
      </c>
      <c r="AO8" s="27">
        <f>2+1+0+1+0+0</f>
        <v>4</v>
      </c>
      <c r="AP8" s="27">
        <v>123</v>
      </c>
      <c r="AQ8" s="27">
        <f>AL8*AM8</f>
        <v>2760.5278048780492</v>
      </c>
      <c r="AR8" s="28"/>
      <c r="AS8" s="26">
        <f>AL8+AE8</f>
        <v>2907</v>
      </c>
      <c r="AT8" s="30">
        <f>SUM(AP8*AM8,AI8*AF8)/AW8</f>
        <v>1.8962717770034845</v>
      </c>
      <c r="AU8" s="26">
        <f>AN8+AG8</f>
        <v>31</v>
      </c>
      <c r="AV8" s="26">
        <f>AO8+AH8</f>
        <v>26</v>
      </c>
      <c r="AW8" s="26">
        <f>AP8+AI8</f>
        <v>287</v>
      </c>
      <c r="AX8" s="27">
        <f>AT8*AS8</f>
        <v>5512.4620557491298</v>
      </c>
      <c r="AY8" s="28"/>
    </row>
    <row r="9" spans="1:51">
      <c r="B9" s="1"/>
      <c r="C9" s="26"/>
      <c r="D9" s="27"/>
      <c r="E9" s="27"/>
      <c r="F9" s="27"/>
      <c r="G9" s="27"/>
      <c r="H9" s="27"/>
      <c r="I9" s="28"/>
      <c r="J9" s="26"/>
      <c r="K9" s="27"/>
      <c r="L9" s="27"/>
      <c r="M9" s="27"/>
      <c r="N9" s="27"/>
      <c r="O9" s="27"/>
      <c r="P9" s="28"/>
      <c r="Q9" s="26"/>
      <c r="R9" s="27"/>
      <c r="S9" s="27"/>
      <c r="T9" s="27"/>
      <c r="U9" s="27"/>
      <c r="V9" s="27"/>
      <c r="W9" s="28"/>
      <c r="X9" s="26"/>
      <c r="Y9" s="27"/>
      <c r="Z9" s="27"/>
      <c r="AA9" s="27"/>
      <c r="AB9" s="27"/>
      <c r="AC9" s="27"/>
      <c r="AD9" s="28"/>
      <c r="AE9" s="26"/>
      <c r="AF9" s="27"/>
      <c r="AG9" s="27"/>
      <c r="AH9" s="27"/>
      <c r="AI9" s="27"/>
      <c r="AJ9" s="27"/>
      <c r="AK9" s="28"/>
      <c r="AL9" s="26"/>
      <c r="AM9" s="27"/>
      <c r="AN9" s="27"/>
      <c r="AO9" s="27"/>
      <c r="AP9" s="27"/>
      <c r="AQ9" s="27"/>
      <c r="AR9" s="28"/>
      <c r="AS9" s="26"/>
      <c r="AT9" s="27"/>
      <c r="AU9" s="27"/>
      <c r="AV9" s="27"/>
      <c r="AW9" s="27"/>
      <c r="AX9" s="27"/>
      <c r="AY9" s="28"/>
    </row>
    <row r="10" spans="1:51">
      <c r="A10" t="s">
        <v>6</v>
      </c>
      <c r="B10" s="3" t="s">
        <v>6</v>
      </c>
      <c r="C10" s="4">
        <v>0</v>
      </c>
      <c r="D10" s="5">
        <v>0</v>
      </c>
      <c r="E10" s="6">
        <v>0</v>
      </c>
      <c r="F10" s="6">
        <v>0</v>
      </c>
      <c r="G10" s="6">
        <v>0</v>
      </c>
      <c r="H10" s="5">
        <f>C10*D10</f>
        <v>0</v>
      </c>
      <c r="I10" s="7">
        <f t="shared" ref="I10:I20" si="0">H10/$H$22</f>
        <v>0</v>
      </c>
      <c r="J10" s="4">
        <f>26+29</f>
        <v>55</v>
      </c>
      <c r="K10" s="6">
        <f>(2*1+4*1)/N10</f>
        <v>2</v>
      </c>
      <c r="L10" s="6">
        <v>2</v>
      </c>
      <c r="M10" s="6">
        <v>0</v>
      </c>
      <c r="N10" s="6">
        <v>3</v>
      </c>
      <c r="O10" s="16">
        <f t="shared" ref="O10:O19" si="1">J10*K10</f>
        <v>110</v>
      </c>
      <c r="P10" s="7">
        <f t="shared" ref="P10:P20" si="2">O10/$O$22</f>
        <v>1.974006556304464E-2</v>
      </c>
      <c r="Q10" s="4">
        <f>21+25+32</f>
        <v>78</v>
      </c>
      <c r="R10" s="6">
        <f>(1+7+7)/3</f>
        <v>5</v>
      </c>
      <c r="S10" s="6">
        <v>3</v>
      </c>
      <c r="T10" s="6">
        <v>0</v>
      </c>
      <c r="U10" s="6">
        <v>3</v>
      </c>
      <c r="V10" s="16">
        <f t="shared" ref="V10:V19" si="3">Q10*R10</f>
        <v>390</v>
      </c>
      <c r="W10" s="7">
        <f>V10/$V$22</f>
        <v>5.8632937137909388E-2</v>
      </c>
      <c r="X10" s="4">
        <f>21+27</f>
        <v>48</v>
      </c>
      <c r="Y10" s="5">
        <f>(1+1+3)/AB10</f>
        <v>1.6666666666666667</v>
      </c>
      <c r="Z10" s="6">
        <v>2</v>
      </c>
      <c r="AA10" s="6">
        <v>0</v>
      </c>
      <c r="AB10" s="6">
        <v>3</v>
      </c>
      <c r="AC10" s="16">
        <f t="shared" ref="AC10:AC19" si="4">X10*Y10</f>
        <v>80</v>
      </c>
      <c r="AD10" s="7">
        <f>AC10/$AC$22</f>
        <v>1.1633782279726682E-2</v>
      </c>
      <c r="AE10" s="4">
        <f>81+85</f>
        <v>166</v>
      </c>
      <c r="AF10" s="5">
        <f>(6*2.17+5*3.6)/AI10</f>
        <v>2.82</v>
      </c>
      <c r="AG10" s="6">
        <v>2</v>
      </c>
      <c r="AH10" s="6">
        <v>0</v>
      </c>
      <c r="AI10" s="6">
        <f>5+6</f>
        <v>11</v>
      </c>
      <c r="AJ10" s="16">
        <f t="shared" ref="AJ10:AJ19" si="5">AE10*AF10</f>
        <v>468.11999999999995</v>
      </c>
      <c r="AK10" s="7">
        <f>AJ10/$AJ$22</f>
        <v>0.16409982897916878</v>
      </c>
      <c r="AL10" s="4">
        <v>0</v>
      </c>
      <c r="AM10" s="5">
        <v>0</v>
      </c>
      <c r="AN10" s="6">
        <v>0</v>
      </c>
      <c r="AO10" s="6">
        <v>0</v>
      </c>
      <c r="AP10" s="21">
        <v>0</v>
      </c>
      <c r="AQ10" s="16">
        <f>AL10*AM10</f>
        <v>0</v>
      </c>
      <c r="AR10" s="7">
        <f>AQ10/$AQ$22</f>
        <v>0</v>
      </c>
      <c r="AS10" s="4">
        <f>AL10+AE10</f>
        <v>166</v>
      </c>
      <c r="AT10" s="5">
        <f>IF((AP10+AI10 = 0), 0, (AF10*AI10+AM10*AP10)/(AP10+AI10))</f>
        <v>2.82</v>
      </c>
      <c r="AU10" s="6">
        <f>AN10+AG10</f>
        <v>2</v>
      </c>
      <c r="AV10" s="6">
        <f>AO10+AH10</f>
        <v>0</v>
      </c>
      <c r="AW10" s="6">
        <f>AP10+AI10</f>
        <v>11</v>
      </c>
      <c r="AX10" s="16">
        <f>AS10*AT10</f>
        <v>468.11999999999995</v>
      </c>
      <c r="AY10" s="7">
        <f>AX10/$AX$22</f>
        <v>7.1403186383850778E-2</v>
      </c>
    </row>
    <row r="11" spans="1:51">
      <c r="A11" t="s">
        <v>66</v>
      </c>
      <c r="B11" t="s">
        <v>23</v>
      </c>
      <c r="C11" s="4">
        <v>0</v>
      </c>
      <c r="D11" s="5">
        <v>0</v>
      </c>
      <c r="E11" s="6">
        <v>0</v>
      </c>
      <c r="F11" s="6">
        <v>0</v>
      </c>
      <c r="G11" s="6">
        <v>0</v>
      </c>
      <c r="H11" s="5">
        <f t="shared" ref="H11:H19" si="6">C11*D11</f>
        <v>0</v>
      </c>
      <c r="I11" s="7">
        <f t="shared" si="0"/>
        <v>0</v>
      </c>
      <c r="J11" s="4">
        <f>21+5</f>
        <v>26</v>
      </c>
      <c r="K11" s="21">
        <f>(3+2)/2</f>
        <v>2.5</v>
      </c>
      <c r="L11" s="21">
        <v>1</v>
      </c>
      <c r="M11" s="21">
        <v>0</v>
      </c>
      <c r="N11" s="21">
        <v>1</v>
      </c>
      <c r="O11" s="16">
        <f t="shared" si="1"/>
        <v>65</v>
      </c>
      <c r="P11" s="7">
        <f t="shared" si="2"/>
        <v>1.1664584196344561E-2</v>
      </c>
      <c r="Q11" s="4">
        <f>(92+6+5+5)</f>
        <v>108</v>
      </c>
      <c r="R11" s="21">
        <f>(6+7+2+2+1)/5</f>
        <v>3.6</v>
      </c>
      <c r="S11" s="21">
        <v>2</v>
      </c>
      <c r="T11" s="21">
        <v>0</v>
      </c>
      <c r="U11" s="21">
        <v>5</v>
      </c>
      <c r="V11" s="16">
        <f t="shared" si="3"/>
        <v>388.8</v>
      </c>
      <c r="W11" s="7">
        <f t="shared" ref="W11:W20" si="7">V11/$V$22</f>
        <v>5.8452528100561979E-2</v>
      </c>
      <c r="X11" s="4">
        <f>7+25</f>
        <v>32</v>
      </c>
      <c r="Y11" s="21">
        <f>(2+1+1+2)/AB11</f>
        <v>1.5</v>
      </c>
      <c r="Z11" s="21">
        <v>2</v>
      </c>
      <c r="AA11" s="21">
        <v>0</v>
      </c>
      <c r="AB11" s="21">
        <v>4</v>
      </c>
      <c r="AC11" s="16">
        <f t="shared" si="4"/>
        <v>48</v>
      </c>
      <c r="AD11" s="7">
        <f t="shared" ref="AD11:AD20" si="8">AC11/$AC$22</f>
        <v>6.9802693678360089E-3</v>
      </c>
      <c r="AE11" s="4">
        <f>16+9</f>
        <v>25</v>
      </c>
      <c r="AF11" s="21">
        <f>(2+3)/2</f>
        <v>2.5</v>
      </c>
      <c r="AG11" s="21">
        <v>2</v>
      </c>
      <c r="AH11" s="21">
        <v>0</v>
      </c>
      <c r="AI11" s="21">
        <v>2</v>
      </c>
      <c r="AJ11" s="16">
        <f t="shared" si="5"/>
        <v>62.5</v>
      </c>
      <c r="AK11" s="7">
        <f t="shared" ref="AK11:AK20" si="9">AJ11/$AJ$22</f>
        <v>2.1909423462355911E-2</v>
      </c>
      <c r="AL11" s="4">
        <f>19+6</f>
        <v>25</v>
      </c>
      <c r="AM11" s="21"/>
      <c r="AN11" s="21">
        <v>2</v>
      </c>
      <c r="AO11" s="21">
        <v>0</v>
      </c>
      <c r="AP11" s="21">
        <v>2</v>
      </c>
      <c r="AQ11" s="16">
        <f>AL11*AM11</f>
        <v>0</v>
      </c>
      <c r="AR11" s="7">
        <f t="shared" ref="AR11:AR20" si="10">AQ11/$AQ$22</f>
        <v>0</v>
      </c>
      <c r="AS11" s="4">
        <f t="shared" ref="AS11:AS19" si="11">AL11+AE11</f>
        <v>50</v>
      </c>
      <c r="AT11" s="5">
        <f t="shared" ref="AT11:AT19" si="12">IF((AP11+AI11 = 0), 0, (AF11*AI11+AM11*AP11)/(AP11+AI11))</f>
        <v>1.25</v>
      </c>
      <c r="AU11" s="6">
        <f t="shared" ref="AU11:AW19" si="13">AN11+AG11</f>
        <v>4</v>
      </c>
      <c r="AV11" s="6">
        <f t="shared" si="13"/>
        <v>0</v>
      </c>
      <c r="AW11" s="6">
        <f t="shared" si="13"/>
        <v>4</v>
      </c>
      <c r="AX11" s="16">
        <f>AS11*AT11</f>
        <v>62.5</v>
      </c>
      <c r="AY11" s="7">
        <f t="shared" ref="AY11:AY20" si="14">AX11/$AX$22</f>
        <v>9.5332375224102244E-3</v>
      </c>
    </row>
    <row r="12" spans="1:51">
      <c r="A12" t="s">
        <v>66</v>
      </c>
      <c r="B12" s="1" t="s">
        <v>45</v>
      </c>
      <c r="C12" s="18">
        <v>662</v>
      </c>
      <c r="D12" s="19">
        <f>SUM(26*2.5+5*1.2+19*2.3)/G12</f>
        <v>2.2939999999999996</v>
      </c>
      <c r="E12" s="20">
        <v>4</v>
      </c>
      <c r="F12" s="20">
        <v>2</v>
      </c>
      <c r="G12" s="20">
        <f>26+19+5</f>
        <v>50</v>
      </c>
      <c r="H12" s="19">
        <f t="shared" si="6"/>
        <v>1518.6279999999997</v>
      </c>
      <c r="I12" s="17">
        <f t="shared" si="0"/>
        <v>0.25997033339184616</v>
      </c>
      <c r="J12" s="18">
        <f>C12</f>
        <v>662</v>
      </c>
      <c r="K12" s="19">
        <f>SUM(26*2.5+5*1.2+19*2.3)/N12</f>
        <v>2.2939999999999996</v>
      </c>
      <c r="L12" s="20">
        <v>4</v>
      </c>
      <c r="M12" s="20">
        <v>2</v>
      </c>
      <c r="N12" s="20">
        <f>26+19+5</f>
        <v>50</v>
      </c>
      <c r="O12" s="19">
        <f t="shared" si="1"/>
        <v>1518.6279999999997</v>
      </c>
      <c r="P12" s="7">
        <f t="shared" si="2"/>
        <v>0.27252560259886682</v>
      </c>
      <c r="Q12" s="18">
        <f>C12</f>
        <v>662</v>
      </c>
      <c r="R12" s="19">
        <f>SUM(26*2.5+5*1.2+19*2.3)/U12</f>
        <v>2.2939999999999996</v>
      </c>
      <c r="S12" s="20">
        <v>4</v>
      </c>
      <c r="T12" s="20">
        <v>2</v>
      </c>
      <c r="U12" s="20">
        <f>26+19+5</f>
        <v>50</v>
      </c>
      <c r="V12" s="19">
        <f t="shared" si="3"/>
        <v>1518.6279999999997</v>
      </c>
      <c r="W12" s="7">
        <f t="shared" si="7"/>
        <v>0.22831184630735651</v>
      </c>
      <c r="X12" s="18">
        <f>C12</f>
        <v>662</v>
      </c>
      <c r="Y12" s="19">
        <f>SUM(26*2.5+5*1.2+19*2.3)/AB12</f>
        <v>2.2939999999999996</v>
      </c>
      <c r="Z12" s="20">
        <v>4</v>
      </c>
      <c r="AA12" s="20">
        <v>2</v>
      </c>
      <c r="AB12" s="20">
        <f>26+19+5</f>
        <v>50</v>
      </c>
      <c r="AC12" s="19">
        <f t="shared" si="4"/>
        <v>1518.6279999999997</v>
      </c>
      <c r="AD12" s="7">
        <f t="shared" si="8"/>
        <v>0.22084234394870961</v>
      </c>
      <c r="AE12" s="22">
        <v>0</v>
      </c>
      <c r="AF12" s="16">
        <v>0</v>
      </c>
      <c r="AG12" s="23">
        <v>0</v>
      </c>
      <c r="AH12" s="23">
        <v>0</v>
      </c>
      <c r="AI12" s="23">
        <v>0</v>
      </c>
      <c r="AJ12" s="16">
        <f>AE12*AF12</f>
        <v>0</v>
      </c>
      <c r="AK12" s="7">
        <f t="shared" si="9"/>
        <v>0</v>
      </c>
      <c r="AL12" s="22">
        <v>0</v>
      </c>
      <c r="AM12" s="16">
        <v>0</v>
      </c>
      <c r="AN12" s="23">
        <v>0</v>
      </c>
      <c r="AO12" s="23">
        <v>0</v>
      </c>
      <c r="AP12" s="23">
        <v>0</v>
      </c>
      <c r="AQ12" s="16">
        <f>AL12*AM12</f>
        <v>0</v>
      </c>
      <c r="AR12" s="7">
        <f t="shared" si="10"/>
        <v>0</v>
      </c>
      <c r="AS12" s="4">
        <f t="shared" si="11"/>
        <v>0</v>
      </c>
      <c r="AT12" s="5">
        <f t="shared" si="12"/>
        <v>0</v>
      </c>
      <c r="AU12" s="6">
        <f t="shared" si="13"/>
        <v>0</v>
      </c>
      <c r="AV12" s="6">
        <f t="shared" si="13"/>
        <v>0</v>
      </c>
      <c r="AW12" s="6">
        <f t="shared" si="13"/>
        <v>0</v>
      </c>
      <c r="AX12" s="16">
        <f>AS12*AT12</f>
        <v>0</v>
      </c>
      <c r="AY12" s="7">
        <f t="shared" si="14"/>
        <v>0</v>
      </c>
    </row>
    <row r="13" spans="1:51">
      <c r="A13" t="s">
        <v>6</v>
      </c>
      <c r="B13" s="1" t="s">
        <v>8</v>
      </c>
      <c r="C13" s="18">
        <v>9</v>
      </c>
      <c r="D13" s="19">
        <v>3</v>
      </c>
      <c r="E13" s="20">
        <v>1</v>
      </c>
      <c r="F13" s="20">
        <v>1</v>
      </c>
      <c r="G13" s="20">
        <v>3</v>
      </c>
      <c r="H13" s="19">
        <f t="shared" si="6"/>
        <v>27</v>
      </c>
      <c r="I13" s="17">
        <f t="shared" si="0"/>
        <v>4.6220661028111218E-3</v>
      </c>
      <c r="J13" s="18">
        <v>9</v>
      </c>
      <c r="K13" s="19">
        <v>3</v>
      </c>
      <c r="L13" s="20">
        <v>1</v>
      </c>
      <c r="M13" s="20">
        <v>1</v>
      </c>
      <c r="N13" s="20">
        <v>3</v>
      </c>
      <c r="O13" s="19">
        <f t="shared" si="1"/>
        <v>27</v>
      </c>
      <c r="P13" s="7">
        <f t="shared" si="2"/>
        <v>4.8452888200200481E-3</v>
      </c>
      <c r="Q13" s="18">
        <v>9</v>
      </c>
      <c r="R13" s="19">
        <v>3</v>
      </c>
      <c r="S13" s="20">
        <v>1</v>
      </c>
      <c r="T13" s="20">
        <v>1</v>
      </c>
      <c r="U13" s="20">
        <v>3</v>
      </c>
      <c r="V13" s="19">
        <f t="shared" si="3"/>
        <v>27</v>
      </c>
      <c r="W13" s="7">
        <f t="shared" si="7"/>
        <v>4.0592033403168042E-3</v>
      </c>
      <c r="X13" s="18">
        <v>9</v>
      </c>
      <c r="Y13" s="19">
        <v>3</v>
      </c>
      <c r="Z13" s="20">
        <v>1</v>
      </c>
      <c r="AA13" s="20">
        <v>1</v>
      </c>
      <c r="AB13" s="20">
        <v>3</v>
      </c>
      <c r="AC13" s="19">
        <f t="shared" si="4"/>
        <v>27</v>
      </c>
      <c r="AD13" s="7">
        <f t="shared" si="8"/>
        <v>3.926401519407755E-3</v>
      </c>
      <c r="AE13" s="18">
        <v>9</v>
      </c>
      <c r="AF13" s="19">
        <v>3</v>
      </c>
      <c r="AG13" s="20">
        <v>1</v>
      </c>
      <c r="AH13" s="20">
        <v>1</v>
      </c>
      <c r="AI13" s="20">
        <v>3</v>
      </c>
      <c r="AJ13" s="16">
        <f t="shared" si="5"/>
        <v>27</v>
      </c>
      <c r="AK13" s="7">
        <f t="shared" si="9"/>
        <v>9.4648709357377549E-3</v>
      </c>
      <c r="AL13" s="22">
        <f>28*6</f>
        <v>168</v>
      </c>
      <c r="AM13" s="16">
        <v>1</v>
      </c>
      <c r="AN13" s="23">
        <v>6</v>
      </c>
      <c r="AO13" s="23">
        <v>0</v>
      </c>
      <c r="AP13" s="23">
        <f>4*6</f>
        <v>24</v>
      </c>
      <c r="AQ13" s="16">
        <f t="shared" ref="AQ13:AQ19" si="15">AL13*AM13</f>
        <v>168</v>
      </c>
      <c r="AR13" s="7">
        <f t="shared" si="10"/>
        <v>4.0412485942893733E-2</v>
      </c>
      <c r="AS13" s="4">
        <f t="shared" si="11"/>
        <v>177</v>
      </c>
      <c r="AT13" s="5">
        <f t="shared" si="12"/>
        <v>1.2222222222222223</v>
      </c>
      <c r="AU13" s="6">
        <f t="shared" si="13"/>
        <v>7</v>
      </c>
      <c r="AV13" s="6">
        <f t="shared" si="13"/>
        <v>1</v>
      </c>
      <c r="AW13" s="6">
        <f t="shared" si="13"/>
        <v>27</v>
      </c>
      <c r="AX13" s="16">
        <f t="shared" ref="AX13:AX19" si="16">AS13*AT13</f>
        <v>216.33333333333334</v>
      </c>
      <c r="AY13" s="7">
        <f t="shared" si="14"/>
        <v>3.2997712810902594E-2</v>
      </c>
    </row>
    <row r="14" spans="1:51">
      <c r="A14" t="s">
        <v>67</v>
      </c>
      <c r="B14" s="1" t="s">
        <v>10</v>
      </c>
      <c r="C14" s="18">
        <f>49+13</f>
        <v>62</v>
      </c>
      <c r="D14" s="19">
        <v>1.3</v>
      </c>
      <c r="E14" s="20">
        <v>1</v>
      </c>
      <c r="F14" s="20">
        <v>1</v>
      </c>
      <c r="G14" s="20">
        <v>10</v>
      </c>
      <c r="H14" s="19">
        <f t="shared" si="6"/>
        <v>80.600000000000009</v>
      </c>
      <c r="I14" s="17">
        <f t="shared" si="0"/>
        <v>1.3797723255058387E-2</v>
      </c>
      <c r="J14" s="18">
        <f>49+13</f>
        <v>62</v>
      </c>
      <c r="K14" s="19">
        <v>1.3</v>
      </c>
      <c r="L14" s="20">
        <v>1</v>
      </c>
      <c r="M14" s="20">
        <v>1</v>
      </c>
      <c r="N14" s="20">
        <v>10</v>
      </c>
      <c r="O14" s="19">
        <f t="shared" si="1"/>
        <v>80.600000000000009</v>
      </c>
      <c r="P14" s="7">
        <f t="shared" si="2"/>
        <v>1.4464084403467256E-2</v>
      </c>
      <c r="Q14" s="18">
        <f>49+13</f>
        <v>62</v>
      </c>
      <c r="R14" s="19">
        <v>1.3</v>
      </c>
      <c r="S14" s="20">
        <v>1</v>
      </c>
      <c r="T14" s="20">
        <v>1</v>
      </c>
      <c r="U14" s="20">
        <v>10</v>
      </c>
      <c r="V14" s="19">
        <f t="shared" si="3"/>
        <v>80.600000000000009</v>
      </c>
      <c r="W14" s="7">
        <f t="shared" si="7"/>
        <v>1.2117473675167943E-2</v>
      </c>
      <c r="X14" s="22">
        <f>49+13+14</f>
        <v>76</v>
      </c>
      <c r="Y14" s="16">
        <f>(10*1.3+2*1)/AB14</f>
        <v>1.3636363636363635</v>
      </c>
      <c r="Z14" s="24">
        <v>2</v>
      </c>
      <c r="AA14" s="24">
        <v>1</v>
      </c>
      <c r="AB14" s="24">
        <v>11</v>
      </c>
      <c r="AC14" s="16">
        <f t="shared" si="4"/>
        <v>103.63636363636363</v>
      </c>
      <c r="AD14" s="7">
        <f t="shared" si="8"/>
        <v>1.5071036135100472E-2</v>
      </c>
      <c r="AE14" s="22">
        <f>49+13</f>
        <v>62</v>
      </c>
      <c r="AF14" s="16">
        <v>1.3</v>
      </c>
      <c r="AG14" s="23">
        <v>1</v>
      </c>
      <c r="AH14" s="23">
        <v>1</v>
      </c>
      <c r="AI14" s="23">
        <v>10</v>
      </c>
      <c r="AJ14" s="16">
        <f t="shared" si="5"/>
        <v>80.600000000000009</v>
      </c>
      <c r="AK14" s="7">
        <f t="shared" si="9"/>
        <v>2.8254392497054189E-2</v>
      </c>
      <c r="AL14" s="22">
        <v>0</v>
      </c>
      <c r="AM14" s="16">
        <v>0</v>
      </c>
      <c r="AN14" s="23">
        <v>0</v>
      </c>
      <c r="AO14" s="23">
        <v>0</v>
      </c>
      <c r="AP14" s="23">
        <v>0</v>
      </c>
      <c r="AQ14" s="16">
        <f t="shared" si="15"/>
        <v>0</v>
      </c>
      <c r="AR14" s="7">
        <f t="shared" si="10"/>
        <v>0</v>
      </c>
      <c r="AS14" s="4">
        <f t="shared" si="11"/>
        <v>62</v>
      </c>
      <c r="AT14" s="5">
        <f t="shared" si="12"/>
        <v>1.3</v>
      </c>
      <c r="AU14" s="6">
        <f t="shared" si="13"/>
        <v>1</v>
      </c>
      <c r="AV14" s="6">
        <f t="shared" si="13"/>
        <v>1</v>
      </c>
      <c r="AW14" s="6">
        <f t="shared" si="13"/>
        <v>10</v>
      </c>
      <c r="AX14" s="16">
        <f t="shared" si="16"/>
        <v>80.600000000000009</v>
      </c>
      <c r="AY14" s="7">
        <f t="shared" si="14"/>
        <v>1.2294063108900227E-2</v>
      </c>
    </row>
    <row r="15" spans="1:51">
      <c r="A15" t="s">
        <v>67</v>
      </c>
      <c r="B15" s="3" t="s">
        <v>11</v>
      </c>
      <c r="C15" s="22">
        <f>81+89+118+5+16+4+5+4+5+18+13+6</f>
        <v>364</v>
      </c>
      <c r="D15" s="16">
        <f>SUM(11*1.9,9*1.9,10*2, 6*2)/G15</f>
        <v>2.2580645161290325</v>
      </c>
      <c r="E15" s="23">
        <v>3</v>
      </c>
      <c r="F15" s="23">
        <v>8</v>
      </c>
      <c r="G15" s="23">
        <f>11+9+10+1</f>
        <v>31</v>
      </c>
      <c r="H15" s="16">
        <f t="shared" si="6"/>
        <v>821.9354838709678</v>
      </c>
      <c r="I15" s="17">
        <f t="shared" si="0"/>
        <v>0.14070519032213546</v>
      </c>
      <c r="J15" s="22">
        <f>81+89+118+5+16+4+5+4+5+18+13+(7+9)</f>
        <v>374</v>
      </c>
      <c r="K15" s="16">
        <f>SUM(11*1.9,9*1.9,10*2,2*2.5)/N15</f>
        <v>1.96875</v>
      </c>
      <c r="L15" s="23">
        <v>4</v>
      </c>
      <c r="M15" s="23">
        <v>8</v>
      </c>
      <c r="N15" s="23">
        <f>11+9+10+2</f>
        <v>32</v>
      </c>
      <c r="O15" s="16">
        <f t="shared" si="1"/>
        <v>736.3125</v>
      </c>
      <c r="P15" s="7">
        <f t="shared" si="2"/>
        <v>0.13213506386263008</v>
      </c>
      <c r="Q15" s="22">
        <f>81+89+118+5+16+4+5+4+5+18+13+(8+1)</f>
        <v>367</v>
      </c>
      <c r="R15" s="16">
        <f>SUM(11*1.9,9*1.9,1,2)/22</f>
        <v>1.8636363636363635</v>
      </c>
      <c r="S15" s="23">
        <v>5</v>
      </c>
      <c r="T15" s="23">
        <v>8</v>
      </c>
      <c r="U15" s="23">
        <v>22</v>
      </c>
      <c r="V15" s="16">
        <f t="shared" si="3"/>
        <v>683.95454545454538</v>
      </c>
      <c r="W15" s="7">
        <f t="shared" si="7"/>
        <v>0.10282631761236859</v>
      </c>
      <c r="X15" s="22">
        <f>81+89+5+16+4+5+5+4+18+5+13+(7+15)+28+118</f>
        <v>413</v>
      </c>
      <c r="Y15" s="16">
        <f>SUM(11*1.9,9*1.9,2+5,3*1,10*2)/AB15</f>
        <v>1.9428571428571428</v>
      </c>
      <c r="Z15" s="24">
        <v>5</v>
      </c>
      <c r="AA15" s="24">
        <v>9</v>
      </c>
      <c r="AB15" s="24">
        <v>35</v>
      </c>
      <c r="AC15" s="16">
        <f t="shared" si="4"/>
        <v>802.4</v>
      </c>
      <c r="AD15" s="7">
        <f t="shared" si="8"/>
        <v>0.11668683626565861</v>
      </c>
      <c r="AE15" s="22">
        <f>81+89+5+16+4+5+4+18+5+13+33</f>
        <v>273</v>
      </c>
      <c r="AF15" s="16">
        <f>SUM(11*1.9,9*1.9,10*2,9*1.5)/AI15</f>
        <v>1.8333333333333333</v>
      </c>
      <c r="AG15" s="24">
        <v>4</v>
      </c>
      <c r="AH15" s="24">
        <v>8</v>
      </c>
      <c r="AI15" s="24">
        <f>11+9+10+9</f>
        <v>39</v>
      </c>
      <c r="AJ15" s="16">
        <f t="shared" si="5"/>
        <v>500.5</v>
      </c>
      <c r="AK15" s="7">
        <f t="shared" si="9"/>
        <v>0.17545066308654614</v>
      </c>
      <c r="AL15" s="22">
        <f>62+91+50</f>
        <v>203</v>
      </c>
      <c r="AM15" s="16">
        <f>(10*1.7+12*1.17+10*1)/AP15</f>
        <v>1.2825</v>
      </c>
      <c r="AN15" s="24">
        <v>2</v>
      </c>
      <c r="AO15" s="24">
        <v>0</v>
      </c>
      <c r="AP15" s="24">
        <v>32</v>
      </c>
      <c r="AQ15" s="16">
        <f t="shared" si="15"/>
        <v>260.34749999999997</v>
      </c>
      <c r="AR15" s="7">
        <f t="shared" si="10"/>
        <v>6.2626724309628123E-2</v>
      </c>
      <c r="AS15" s="4">
        <f t="shared" si="11"/>
        <v>476</v>
      </c>
      <c r="AT15" s="5">
        <f t="shared" si="12"/>
        <v>1.5850704225352112</v>
      </c>
      <c r="AU15" s="6">
        <f t="shared" si="13"/>
        <v>6</v>
      </c>
      <c r="AV15" s="6">
        <f t="shared" si="13"/>
        <v>8</v>
      </c>
      <c r="AW15" s="6">
        <f t="shared" si="13"/>
        <v>71</v>
      </c>
      <c r="AX15" s="16">
        <f t="shared" si="16"/>
        <v>754.49352112676058</v>
      </c>
      <c r="AY15" s="7">
        <f t="shared" si="14"/>
        <v>0.11508425513633673</v>
      </c>
    </row>
    <row r="16" spans="1:51">
      <c r="A16" t="s">
        <v>67</v>
      </c>
      <c r="B16" s="1" t="s">
        <v>26</v>
      </c>
      <c r="C16" s="18">
        <f>(3+9+3+3+3)+22+62+6+8+4+6+11+59+64+10+29+98</f>
        <v>400</v>
      </c>
      <c r="D16" s="19">
        <f>SUM(2.3*5,2.12*8,8*2,2.8*5,2,6,9*2.3)/G16</f>
        <v>2.0269767441860469</v>
      </c>
      <c r="E16" s="20">
        <v>7</v>
      </c>
      <c r="F16" s="20">
        <v>6</v>
      </c>
      <c r="G16" s="20">
        <f>5+8+8+5+2+6+9</f>
        <v>43</v>
      </c>
      <c r="H16" s="19">
        <f t="shared" si="6"/>
        <v>810.79069767441877</v>
      </c>
      <c r="I16" s="17">
        <f t="shared" si="0"/>
        <v>0.13879734074798189</v>
      </c>
      <c r="J16" s="18">
        <f>(3+9+3+3+3)+22+62+6+8+4+6+11+59+64+10+29+98</f>
        <v>400</v>
      </c>
      <c r="K16" s="19">
        <f>SUM(2.3*5,2.12*8,8*2,2.8*5,2,6,9*2.3)/N16</f>
        <v>2.0269767441860469</v>
      </c>
      <c r="L16" s="20">
        <v>7</v>
      </c>
      <c r="M16" s="20">
        <v>6</v>
      </c>
      <c r="N16" s="20">
        <f>5+8+8+5+2+6+9</f>
        <v>43</v>
      </c>
      <c r="O16" s="19">
        <f t="shared" si="1"/>
        <v>810.79069767441877</v>
      </c>
      <c r="P16" s="7">
        <f t="shared" si="2"/>
        <v>0.14550055936363393</v>
      </c>
      <c r="Q16" s="18">
        <f>(3+9+3+3+3)+22+62+6+8+4+6+11+59+64+10+29+98</f>
        <v>400</v>
      </c>
      <c r="R16" s="19">
        <f>SUM(2.3*5,2.12*8,8*2,2.8*5,2,6,9*2.3)/U16</f>
        <v>2.0269767441860469</v>
      </c>
      <c r="S16" s="20">
        <v>7</v>
      </c>
      <c r="T16" s="20">
        <v>6</v>
      </c>
      <c r="U16" s="20">
        <f>5+8+8+5+2+6+9</f>
        <v>43</v>
      </c>
      <c r="V16" s="19">
        <f t="shared" si="3"/>
        <v>810.79069767441877</v>
      </c>
      <c r="W16" s="7">
        <f t="shared" si="7"/>
        <v>0.12189497438139972</v>
      </c>
      <c r="X16" s="22">
        <f>3+22+22+14+10+10+178+26</f>
        <v>285</v>
      </c>
      <c r="Y16" s="16">
        <f>SUM(1,7,6,4,5,12*3.6,5*1)/AB16</f>
        <v>3.2363636363636363</v>
      </c>
      <c r="Z16" s="23">
        <v>4</v>
      </c>
      <c r="AA16" s="23">
        <v>1</v>
      </c>
      <c r="AB16" s="23">
        <v>22</v>
      </c>
      <c r="AC16" s="16">
        <f t="shared" si="4"/>
        <v>922.36363636363637</v>
      </c>
      <c r="AD16" s="7">
        <f t="shared" si="8"/>
        <v>0.13413222160239421</v>
      </c>
      <c r="AE16" s="22">
        <f>5+8+4+6+11+7+15+10+29+(9+9+5+5+5)+8</f>
        <v>136</v>
      </c>
      <c r="AF16" s="16">
        <f>(2*1+6*1+3+3+2+2+2+5*1)/AI16</f>
        <v>1.3888888888888888</v>
      </c>
      <c r="AG16" s="24">
        <v>4</v>
      </c>
      <c r="AH16" s="24">
        <v>7</v>
      </c>
      <c r="AI16" s="24">
        <v>18</v>
      </c>
      <c r="AJ16" s="16">
        <f t="shared" si="5"/>
        <v>188.88888888888889</v>
      </c>
      <c r="AK16" s="7">
        <f t="shared" si="9"/>
        <v>6.6215146464008973E-2</v>
      </c>
      <c r="AL16" s="22">
        <f>7+112+15+109</f>
        <v>243</v>
      </c>
      <c r="AM16" s="16">
        <f>(2*1.4+11*2.1)/(2+11)</f>
        <v>1.9923076923076926</v>
      </c>
      <c r="AN16" s="24">
        <v>4</v>
      </c>
      <c r="AO16" s="24">
        <v>3</v>
      </c>
      <c r="AP16" s="24">
        <f>2+11</f>
        <v>13</v>
      </c>
      <c r="AQ16" s="16">
        <f t="shared" si="15"/>
        <v>484.13076923076932</v>
      </c>
      <c r="AR16" s="7">
        <f t="shared" si="10"/>
        <v>0.11645790420274284</v>
      </c>
      <c r="AS16" s="4">
        <f t="shared" si="11"/>
        <v>379</v>
      </c>
      <c r="AT16" s="5">
        <f t="shared" si="12"/>
        <v>1.6419354838709679</v>
      </c>
      <c r="AU16" s="6">
        <f t="shared" si="13"/>
        <v>8</v>
      </c>
      <c r="AV16" s="6">
        <f t="shared" si="13"/>
        <v>10</v>
      </c>
      <c r="AW16" s="6">
        <f t="shared" si="13"/>
        <v>31</v>
      </c>
      <c r="AX16" s="16">
        <f t="shared" si="16"/>
        <v>622.29354838709685</v>
      </c>
      <c r="AY16" s="7">
        <f t="shared" si="14"/>
        <v>9.4919555287002785E-2</v>
      </c>
    </row>
    <row r="17" spans="1:51">
      <c r="A17" t="s">
        <v>67</v>
      </c>
      <c r="B17" s="3" t="s">
        <v>12</v>
      </c>
      <c r="C17" s="4">
        <v>1</v>
      </c>
      <c r="D17" s="5">
        <v>1</v>
      </c>
      <c r="E17" s="6">
        <v>2</v>
      </c>
      <c r="F17" s="6">
        <v>1</v>
      </c>
      <c r="G17" s="6">
        <v>1</v>
      </c>
      <c r="H17" s="5">
        <f t="shared" si="6"/>
        <v>1</v>
      </c>
      <c r="I17" s="7">
        <f t="shared" si="0"/>
        <v>1.7118763343744895E-4</v>
      </c>
      <c r="J17" s="4">
        <v>8</v>
      </c>
      <c r="K17" s="21">
        <v>2</v>
      </c>
      <c r="L17" s="24">
        <v>2</v>
      </c>
      <c r="M17" s="24">
        <v>1</v>
      </c>
      <c r="N17" s="24">
        <v>1</v>
      </c>
      <c r="O17" s="16">
        <f t="shared" si="1"/>
        <v>16</v>
      </c>
      <c r="P17" s="7">
        <f t="shared" si="2"/>
        <v>2.8712822637155843E-3</v>
      </c>
      <c r="Q17" s="4">
        <v>9</v>
      </c>
      <c r="R17" s="25">
        <v>3</v>
      </c>
      <c r="S17" s="24">
        <v>2</v>
      </c>
      <c r="T17" s="24">
        <v>1</v>
      </c>
      <c r="U17" s="24">
        <v>3</v>
      </c>
      <c r="V17" s="16">
        <f t="shared" si="3"/>
        <v>27</v>
      </c>
      <c r="W17" s="7">
        <f t="shared" si="7"/>
        <v>4.0592033403168042E-3</v>
      </c>
      <c r="X17" s="4">
        <v>8</v>
      </c>
      <c r="Y17" s="25">
        <v>3</v>
      </c>
      <c r="Z17" s="24">
        <v>2</v>
      </c>
      <c r="AA17" s="24">
        <v>1</v>
      </c>
      <c r="AB17" s="24">
        <v>1</v>
      </c>
      <c r="AC17" s="16">
        <f t="shared" si="4"/>
        <v>24</v>
      </c>
      <c r="AD17" s="7">
        <f t="shared" si="8"/>
        <v>3.4901346839180045E-3</v>
      </c>
      <c r="AE17" s="4">
        <f>1+6</f>
        <v>7</v>
      </c>
      <c r="AF17" s="25">
        <v>2</v>
      </c>
      <c r="AG17" s="24">
        <v>1</v>
      </c>
      <c r="AH17" s="24">
        <v>1</v>
      </c>
      <c r="AI17" s="24">
        <v>1</v>
      </c>
      <c r="AJ17" s="16">
        <f t="shared" si="5"/>
        <v>14</v>
      </c>
      <c r="AK17" s="7">
        <f t="shared" si="9"/>
        <v>4.9077108555677243E-3</v>
      </c>
      <c r="AL17" s="4">
        <f>129+83</f>
        <v>212</v>
      </c>
      <c r="AM17" s="25">
        <f>(5*4+4*4.5)/AP17</f>
        <v>4.2222222222222223</v>
      </c>
      <c r="AN17" s="24">
        <v>2</v>
      </c>
      <c r="AO17" s="24">
        <v>0</v>
      </c>
      <c r="AP17" s="24">
        <v>9</v>
      </c>
      <c r="AQ17" s="16">
        <f t="shared" si="15"/>
        <v>895.11111111111109</v>
      </c>
      <c r="AR17" s="7">
        <f t="shared" si="10"/>
        <v>0.21531943568515338</v>
      </c>
      <c r="AS17" s="4">
        <f t="shared" si="11"/>
        <v>219</v>
      </c>
      <c r="AT17" s="5">
        <f t="shared" si="12"/>
        <v>4</v>
      </c>
      <c r="AU17" s="6">
        <f t="shared" si="13"/>
        <v>3</v>
      </c>
      <c r="AV17" s="6">
        <f t="shared" si="13"/>
        <v>1</v>
      </c>
      <c r="AW17" s="6">
        <f t="shared" si="13"/>
        <v>10</v>
      </c>
      <c r="AX17" s="16">
        <f t="shared" si="16"/>
        <v>876</v>
      </c>
      <c r="AY17" s="7">
        <f t="shared" si="14"/>
        <v>0.13361785711410171</v>
      </c>
    </row>
    <row r="18" spans="1:51">
      <c r="A18" t="s">
        <v>67</v>
      </c>
      <c r="B18" s="3" t="s">
        <v>13</v>
      </c>
      <c r="C18" s="4">
        <f>56+(26)+76+107+7+22+4+4+12+7+10+6+(2+5+6)+128+27+73+73+96</f>
        <v>747</v>
      </c>
      <c r="D18" s="5">
        <f>SUM(8*2.5+9*2.9+12*2.5+8*1.5+10*3.6+3+(3)*2.12+9*2.78+7*2.43,9*1.3)/G18</f>
        <v>2.3998717948717947</v>
      </c>
      <c r="E18" s="6">
        <v>10</v>
      </c>
      <c r="F18" s="6">
        <v>8</v>
      </c>
      <c r="G18" s="6">
        <f>8+9+12+8+10+3+(3)+9+7+9</f>
        <v>78</v>
      </c>
      <c r="H18" s="5">
        <f t="shared" si="6"/>
        <v>1792.7042307692307</v>
      </c>
      <c r="I18" s="7">
        <f t="shared" si="0"/>
        <v>0.30688879471868696</v>
      </c>
      <c r="J18" s="4">
        <f>56+(26)+230+107+7+22+4+4+12+7+10+6+128+27+73+(11+5+12)+96</f>
        <v>843</v>
      </c>
      <c r="K18" s="5">
        <f>SUM(8*2.25,28*1.9,12*2.25,10*3.6,3,8*2.13,9*1.78,8*2,9*1.3)/N18</f>
        <v>1.9407843137254901</v>
      </c>
      <c r="L18" s="24">
        <v>9</v>
      </c>
      <c r="M18" s="24">
        <v>8</v>
      </c>
      <c r="N18" s="6">
        <f>8+28+12+10+3+8+9+8+7+9</f>
        <v>102</v>
      </c>
      <c r="O18" s="16">
        <f t="shared" si="1"/>
        <v>1636.0811764705882</v>
      </c>
      <c r="P18" s="7">
        <f t="shared" si="2"/>
        <v>0.29360317899993293</v>
      </c>
      <c r="Q18" s="4">
        <f>56+(10+10+10+10+8+7+7+7+8)+(80+5+5)+(26)+107+7+22+4+4+12+7+10+6+128+27+73+73+96+55</f>
        <v>880</v>
      </c>
      <c r="R18" s="5">
        <f>SUM(8*2.5,4+4+4+4+2+2+2+2+2,7*2.85,12*2.5,10*2.3,3*1,8*2.12,9*1.78,7*2.42,6*1.28,9*1.3)/U18</f>
        <v>2.1732954545454546</v>
      </c>
      <c r="S18" s="24">
        <v>10</v>
      </c>
      <c r="T18" s="24">
        <v>8</v>
      </c>
      <c r="U18" s="24">
        <f>79+9</f>
        <v>88</v>
      </c>
      <c r="V18" s="16">
        <f t="shared" si="3"/>
        <v>1912.5</v>
      </c>
      <c r="W18" s="7">
        <f t="shared" si="7"/>
        <v>0.28752690327244029</v>
      </c>
      <c r="X18" s="4">
        <f>56+(10+10+10+10+8+7+7+7+8)+(26)+107+7+22+4+4+12+7+10+6+118+128+27+73+73+96</f>
        <v>853</v>
      </c>
      <c r="Y18" s="5">
        <f>SUM(8*2.25,4+4+4+4+2+2+2+2+2+2,12*2.25,10*2.3,10*3.6,3*1,8*2.12,9*2.78,7*2.4,9*1.3)/AB18</f>
        <v>2.3893023255813954</v>
      </c>
      <c r="Z18" s="24">
        <v>9</v>
      </c>
      <c r="AA18" s="24">
        <v>8</v>
      </c>
      <c r="AB18" s="21">
        <f>77+9</f>
        <v>86</v>
      </c>
      <c r="AC18" s="16">
        <f t="shared" si="4"/>
        <v>2038.0748837209303</v>
      </c>
      <c r="AD18" s="7">
        <f t="shared" si="8"/>
        <v>0.29638149333735719</v>
      </c>
      <c r="AE18" s="4">
        <f>26+71+7+22+4+4+12+7+10+6+68+28+46+60+45+(13+14+1+1+1+24+12+1+1+1+13)</f>
        <v>498</v>
      </c>
      <c r="AF18" s="5">
        <f>(4*1+12*1.5+10*1.4+6*1+9*1+10*1.5+6*1.17+(3+4+1+1+1+6+3+1+1+1+4))/AI18</f>
        <v>1.4561764705882352</v>
      </c>
      <c r="AG18" s="24">
        <v>10</v>
      </c>
      <c r="AH18" s="24">
        <v>8</v>
      </c>
      <c r="AI18" s="24">
        <v>68</v>
      </c>
      <c r="AJ18" s="16">
        <f t="shared" si="5"/>
        <v>725.17588235294113</v>
      </c>
      <c r="AK18" s="7">
        <f t="shared" si="9"/>
        <v>0.25421096785853087</v>
      </c>
      <c r="AL18" s="4">
        <f>53+115+14+7+144+52+147+148</f>
        <v>680</v>
      </c>
      <c r="AM18" s="5">
        <f>(6*3.33+10*2.8+8*4.74+7*1.71+10*3.9+7*4.14)/AP18</f>
        <v>3.4552083333333332</v>
      </c>
      <c r="AN18" s="24">
        <v>6</v>
      </c>
      <c r="AO18" s="24">
        <v>2</v>
      </c>
      <c r="AP18" s="24">
        <v>48</v>
      </c>
      <c r="AQ18" s="16">
        <f t="shared" si="15"/>
        <v>2349.5416666666665</v>
      </c>
      <c r="AR18" s="7">
        <f t="shared" si="10"/>
        <v>0.56518344985958202</v>
      </c>
      <c r="AS18" s="4">
        <f t="shared" si="11"/>
        <v>1178</v>
      </c>
      <c r="AT18" s="5">
        <f t="shared" si="12"/>
        <v>2.2833620689655172</v>
      </c>
      <c r="AU18" s="6">
        <f t="shared" si="13"/>
        <v>16</v>
      </c>
      <c r="AV18" s="6">
        <f t="shared" si="13"/>
        <v>10</v>
      </c>
      <c r="AW18" s="6">
        <f t="shared" si="13"/>
        <v>116</v>
      </c>
      <c r="AX18" s="16">
        <f t="shared" si="16"/>
        <v>2689.8005172413791</v>
      </c>
      <c r="AY18" s="7">
        <f t="shared" si="14"/>
        <v>0.41028011550022314</v>
      </c>
    </row>
    <row r="19" spans="1:51">
      <c r="A19" t="s">
        <v>67</v>
      </c>
      <c r="B19" s="3" t="s">
        <v>14</v>
      </c>
      <c r="C19" s="4">
        <f>72+7+5</f>
        <v>84</v>
      </c>
      <c r="D19" s="5">
        <v>2.29</v>
      </c>
      <c r="E19" s="6">
        <v>1</v>
      </c>
      <c r="F19" s="6">
        <v>2</v>
      </c>
      <c r="G19" s="6">
        <v>6</v>
      </c>
      <c r="H19" s="5">
        <f t="shared" si="6"/>
        <v>192.36</v>
      </c>
      <c r="I19" s="7">
        <f t="shared" si="0"/>
        <v>3.2929653168027685E-2</v>
      </c>
      <c r="J19" s="4">
        <v>0</v>
      </c>
      <c r="K19" s="21">
        <v>0</v>
      </c>
      <c r="L19" s="24">
        <v>0</v>
      </c>
      <c r="M19" s="24">
        <v>0</v>
      </c>
      <c r="N19" s="6">
        <v>0</v>
      </c>
      <c r="O19" s="16">
        <f t="shared" si="1"/>
        <v>0</v>
      </c>
      <c r="P19" s="7">
        <f t="shared" si="2"/>
        <v>0</v>
      </c>
      <c r="Q19" s="4">
        <v>0</v>
      </c>
      <c r="R19" s="21">
        <v>0</v>
      </c>
      <c r="S19" s="24">
        <v>0</v>
      </c>
      <c r="T19" s="24">
        <v>0</v>
      </c>
      <c r="U19" s="6">
        <v>0</v>
      </c>
      <c r="V19" s="16">
        <f t="shared" si="3"/>
        <v>0</v>
      </c>
      <c r="W19" s="7">
        <f t="shared" si="7"/>
        <v>0</v>
      </c>
      <c r="X19" s="4">
        <v>0</v>
      </c>
      <c r="Y19" s="21">
        <v>0</v>
      </c>
      <c r="Z19" s="24">
        <v>0</v>
      </c>
      <c r="AA19" s="24">
        <v>0</v>
      </c>
      <c r="AB19" s="6">
        <v>0</v>
      </c>
      <c r="AC19" s="16">
        <f t="shared" si="4"/>
        <v>0</v>
      </c>
      <c r="AD19" s="7">
        <f t="shared" si="8"/>
        <v>0</v>
      </c>
      <c r="AE19" s="4">
        <v>0</v>
      </c>
      <c r="AF19" s="21">
        <v>0</v>
      </c>
      <c r="AG19" s="24">
        <v>0</v>
      </c>
      <c r="AH19" s="24">
        <v>0</v>
      </c>
      <c r="AI19" s="6">
        <v>0</v>
      </c>
      <c r="AJ19" s="16">
        <f t="shared" si="5"/>
        <v>0</v>
      </c>
      <c r="AK19" s="7">
        <f t="shared" si="9"/>
        <v>0</v>
      </c>
      <c r="AL19" s="4">
        <v>0</v>
      </c>
      <c r="AM19" s="21">
        <v>0</v>
      </c>
      <c r="AN19" s="24">
        <v>0</v>
      </c>
      <c r="AO19" s="24">
        <v>0</v>
      </c>
      <c r="AP19" s="6">
        <v>0</v>
      </c>
      <c r="AQ19" s="16">
        <f t="shared" si="15"/>
        <v>0</v>
      </c>
      <c r="AR19" s="7">
        <f t="shared" si="10"/>
        <v>0</v>
      </c>
      <c r="AS19" s="4">
        <f t="shared" si="11"/>
        <v>0</v>
      </c>
      <c r="AT19" s="5">
        <f t="shared" si="12"/>
        <v>0</v>
      </c>
      <c r="AU19" s="6">
        <f t="shared" si="13"/>
        <v>0</v>
      </c>
      <c r="AV19" s="6">
        <f t="shared" si="13"/>
        <v>0</v>
      </c>
      <c r="AW19" s="6">
        <f t="shared" si="13"/>
        <v>0</v>
      </c>
      <c r="AX19" s="16">
        <f t="shared" si="16"/>
        <v>0</v>
      </c>
      <c r="AY19" s="7">
        <f t="shared" si="14"/>
        <v>0</v>
      </c>
    </row>
    <row r="20" spans="1:51">
      <c r="A20" t="s">
        <v>6</v>
      </c>
      <c r="B20" s="3" t="s">
        <v>9</v>
      </c>
      <c r="C20" s="22">
        <f>C8-SUM(C10:C19)</f>
        <v>283</v>
      </c>
      <c r="D20" s="16">
        <f>D8</f>
        <v>2.1078623481781373</v>
      </c>
      <c r="E20" s="23"/>
      <c r="F20" s="23"/>
      <c r="G20" s="23"/>
      <c r="H20" s="16">
        <f>C20*D20</f>
        <v>596.52504453441281</v>
      </c>
      <c r="I20" s="17">
        <f t="shared" si="0"/>
        <v>0.10211771066001497</v>
      </c>
      <c r="J20" s="22">
        <f>J8-SUM(J10:J19)</f>
        <v>269</v>
      </c>
      <c r="K20" s="16">
        <f>K8</f>
        <v>2.1264344262295078</v>
      </c>
      <c r="L20" s="23"/>
      <c r="M20" s="23"/>
      <c r="N20" s="23"/>
      <c r="O20" s="16">
        <f>J20*K20</f>
        <v>572.01086065573759</v>
      </c>
      <c r="P20" s="7">
        <f t="shared" si="2"/>
        <v>0.10265028992834412</v>
      </c>
      <c r="Q20" s="22">
        <f>Q8-SUM(Q10:Q19)</f>
        <v>374</v>
      </c>
      <c r="R20" s="16">
        <f>R8</f>
        <v>2.1718669527896992</v>
      </c>
      <c r="S20" s="23"/>
      <c r="T20" s="23"/>
      <c r="U20" s="23"/>
      <c r="V20" s="16">
        <f>Q20*R20</f>
        <v>812.27824034334753</v>
      </c>
      <c r="W20" s="7">
        <f t="shared" si="7"/>
        <v>0.12211861283216192</v>
      </c>
      <c r="X20" s="18">
        <f>X8-SUM(X10:X19)</f>
        <v>612</v>
      </c>
      <c r="Y20" s="19">
        <f>Y8</f>
        <v>2.1444813278008299</v>
      </c>
      <c r="Z20" s="20"/>
      <c r="AA20" s="20"/>
      <c r="AB20" s="20"/>
      <c r="AC20" s="19">
        <f>X20*Y20</f>
        <v>1312.4225726141078</v>
      </c>
      <c r="AD20" s="7">
        <f t="shared" si="8"/>
        <v>0.1908554808598914</v>
      </c>
      <c r="AE20" s="22">
        <f>AE8-SUM(AE10:AE19)</f>
        <v>468</v>
      </c>
      <c r="AF20" s="16">
        <f>AF8</f>
        <v>1.6792073170731707</v>
      </c>
      <c r="AG20" s="23"/>
      <c r="AH20" s="23"/>
      <c r="AI20" s="23"/>
      <c r="AJ20" s="16">
        <f>AE20*AF20</f>
        <v>785.86902439024391</v>
      </c>
      <c r="AK20" s="7">
        <f t="shared" si="9"/>
        <v>0.27548699586102976</v>
      </c>
      <c r="AL20" s="22">
        <v>0</v>
      </c>
      <c r="AM20" s="16">
        <v>0</v>
      </c>
      <c r="AN20" s="23">
        <v>0</v>
      </c>
      <c r="AO20" s="23">
        <v>0</v>
      </c>
      <c r="AP20" s="23">
        <v>0</v>
      </c>
      <c r="AQ20" s="16">
        <f>AL20*AM20</f>
        <v>0</v>
      </c>
      <c r="AR20" s="7">
        <f t="shared" si="10"/>
        <v>0</v>
      </c>
      <c r="AS20" s="4">
        <f>AE20+AL20</f>
        <v>468</v>
      </c>
      <c r="AT20" s="5">
        <f>AF20</f>
        <v>1.6792073170731707</v>
      </c>
      <c r="AU20" s="6">
        <f>AN20+AG20</f>
        <v>0</v>
      </c>
      <c r="AV20" s="6">
        <f>AO20+AH20</f>
        <v>0</v>
      </c>
      <c r="AW20" s="6">
        <f>AP20+AI20</f>
        <v>0</v>
      </c>
      <c r="AX20" s="16">
        <f>AS20*AT20</f>
        <v>785.86902439024391</v>
      </c>
      <c r="AY20" s="7">
        <f t="shared" si="14"/>
        <v>0.11987001713627182</v>
      </c>
    </row>
    <row r="21" spans="1:51">
      <c r="C21" s="4"/>
      <c r="D21" s="6"/>
      <c r="E21" s="6"/>
      <c r="F21" s="6"/>
      <c r="G21" s="6"/>
      <c r="H21" s="6"/>
      <c r="I21" s="15"/>
      <c r="J21" s="4"/>
      <c r="K21" s="6"/>
      <c r="L21" s="6"/>
      <c r="M21" s="6"/>
      <c r="N21" s="6"/>
      <c r="O21" s="6"/>
      <c r="P21" s="15"/>
      <c r="Q21" s="4"/>
      <c r="R21" s="6"/>
      <c r="S21" s="6"/>
      <c r="T21" s="6"/>
      <c r="U21" s="6"/>
      <c r="V21" s="6"/>
      <c r="W21" s="15"/>
      <c r="X21" s="4"/>
      <c r="Y21" s="6"/>
      <c r="Z21" s="6"/>
      <c r="AA21" s="6"/>
      <c r="AB21" s="6"/>
      <c r="AC21" s="6"/>
      <c r="AD21" s="15"/>
      <c r="AE21" s="4"/>
      <c r="AF21" s="6"/>
      <c r="AG21" s="6"/>
      <c r="AH21" s="6"/>
      <c r="AI21" s="6"/>
      <c r="AJ21" s="6"/>
      <c r="AK21" s="15"/>
      <c r="AL21" s="4"/>
      <c r="AM21" s="6"/>
      <c r="AN21" s="6"/>
      <c r="AO21" s="6"/>
      <c r="AP21" s="6"/>
      <c r="AQ21" s="6"/>
      <c r="AR21" s="15"/>
      <c r="AS21" s="4"/>
      <c r="AT21" s="6"/>
      <c r="AU21" s="6"/>
      <c r="AV21" s="6"/>
      <c r="AW21" s="6"/>
      <c r="AX21" s="6"/>
      <c r="AY21" s="15"/>
    </row>
    <row r="22" spans="1:51">
      <c r="B22" s="1" t="s">
        <v>19</v>
      </c>
      <c r="C22" s="8"/>
      <c r="D22" s="9"/>
      <c r="E22" s="9"/>
      <c r="F22" s="9"/>
      <c r="G22" s="9"/>
      <c r="H22" s="10">
        <f>SUM(H10:H20)</f>
        <v>5841.5434568490291</v>
      </c>
      <c r="I22" s="11">
        <f>SUM(I10:I20)</f>
        <v>1.0000000000000002</v>
      </c>
      <c r="J22" s="8"/>
      <c r="K22" s="9"/>
      <c r="L22" s="9"/>
      <c r="M22" s="9"/>
      <c r="N22" s="9"/>
      <c r="O22" s="10">
        <f>SUM(O10:O20)</f>
        <v>5572.4232348007445</v>
      </c>
      <c r="P22" s="11">
        <f>SUM(P10:P20)</f>
        <v>1</v>
      </c>
      <c r="Q22" s="8"/>
      <c r="R22" s="9"/>
      <c r="S22" s="9"/>
      <c r="T22" s="9"/>
      <c r="U22" s="9"/>
      <c r="V22" s="10">
        <f>SUM(V10:V20)</f>
        <v>6651.5514834723117</v>
      </c>
      <c r="W22" s="11">
        <f>SUM(W10:W20)</f>
        <v>1</v>
      </c>
      <c r="X22" s="8"/>
      <c r="Y22" s="9"/>
      <c r="Z22" s="9"/>
      <c r="AA22" s="9"/>
      <c r="AB22" s="9"/>
      <c r="AC22" s="10">
        <f>SUM(AC10:AC20)</f>
        <v>6876.5254563350381</v>
      </c>
      <c r="AD22" s="11">
        <f>SUM(AD10:AD20)</f>
        <v>1</v>
      </c>
      <c r="AE22" s="8"/>
      <c r="AF22" s="9"/>
      <c r="AG22" s="9"/>
      <c r="AH22" s="9"/>
      <c r="AI22" s="9"/>
      <c r="AJ22" s="10">
        <f>SUM(AJ10:AJ20)</f>
        <v>2852.6537956320735</v>
      </c>
      <c r="AK22" s="11">
        <f>SUM(AK10:AK20)</f>
        <v>1</v>
      </c>
      <c r="AL22" s="8"/>
      <c r="AM22" s="9"/>
      <c r="AN22" s="9"/>
      <c r="AO22" s="9"/>
      <c r="AP22" s="9"/>
      <c r="AQ22" s="10">
        <f>SUM(AQ10:AQ20)</f>
        <v>4157.1310470085464</v>
      </c>
      <c r="AR22" s="11">
        <f>SUM(AR10:AR20)</f>
        <v>1</v>
      </c>
      <c r="AS22" s="8"/>
      <c r="AT22" s="9"/>
      <c r="AU22" s="9"/>
      <c r="AV22" s="9"/>
      <c r="AW22" s="9"/>
      <c r="AX22" s="10">
        <f>SUM(AX10:AX20)</f>
        <v>6556.0099444788138</v>
      </c>
      <c r="AY22" s="11">
        <f>SUM(AY10:AY20)</f>
        <v>1</v>
      </c>
    </row>
    <row r="42" spans="2:31">
      <c r="AE42" t="s">
        <v>40</v>
      </c>
    </row>
    <row r="43" spans="2:31">
      <c r="B43" s="1" t="s">
        <v>29</v>
      </c>
      <c r="AE43" t="s">
        <v>41</v>
      </c>
    </row>
    <row r="44" spans="2:31">
      <c r="B44" s="3" t="s">
        <v>6</v>
      </c>
      <c r="C44" t="s">
        <v>30</v>
      </c>
    </row>
    <row r="45" spans="2:31">
      <c r="B45" s="3" t="s">
        <v>23</v>
      </c>
      <c r="C45" t="s">
        <v>31</v>
      </c>
    </row>
    <row r="46" spans="2:31">
      <c r="B46" s="3" t="s">
        <v>7</v>
      </c>
      <c r="C46" t="s">
        <v>32</v>
      </c>
    </row>
    <row r="47" spans="2:31">
      <c r="B47" s="3" t="s">
        <v>8</v>
      </c>
      <c r="C47" t="s">
        <v>33</v>
      </c>
    </row>
    <row r="48" spans="2:31">
      <c r="B48" s="3" t="s">
        <v>9</v>
      </c>
      <c r="C48" t="s">
        <v>44</v>
      </c>
    </row>
    <row r="49" spans="1:15">
      <c r="B49" s="3" t="s">
        <v>10</v>
      </c>
      <c r="C49" t="s">
        <v>34</v>
      </c>
    </row>
    <row r="50" spans="1:15">
      <c r="B50" s="3" t="s">
        <v>11</v>
      </c>
      <c r="C50" t="s">
        <v>35</v>
      </c>
    </row>
    <row r="51" spans="1:15">
      <c r="B51" s="3" t="s">
        <v>26</v>
      </c>
      <c r="C51" t="s">
        <v>36</v>
      </c>
    </row>
    <row r="52" spans="1:15">
      <c r="B52" s="3" t="s">
        <v>12</v>
      </c>
      <c r="C52" t="s">
        <v>37</v>
      </c>
    </row>
    <row r="53" spans="1:15">
      <c r="B53" s="3" t="s">
        <v>13</v>
      </c>
      <c r="C53" t="s">
        <v>39</v>
      </c>
    </row>
    <row r="54" spans="1:15">
      <c r="B54" s="3" t="s">
        <v>14</v>
      </c>
      <c r="C54" t="s">
        <v>38</v>
      </c>
    </row>
    <row r="55" spans="1:15">
      <c r="B55" s="3"/>
    </row>
    <row r="56" spans="1:15">
      <c r="B56" s="3"/>
    </row>
    <row r="57" spans="1:15">
      <c r="A57" s="20" t="s">
        <v>69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5">
      <c r="A58" s="42" t="s">
        <v>70</v>
      </c>
      <c r="B58" s="63" t="s">
        <v>15</v>
      </c>
      <c r="C58" s="63"/>
      <c r="D58" s="63"/>
      <c r="E58" s="63"/>
      <c r="F58" s="63"/>
      <c r="G58" s="64"/>
      <c r="H58" s="65" t="s">
        <v>28</v>
      </c>
      <c r="I58" s="63"/>
      <c r="J58" s="63"/>
      <c r="K58" s="63"/>
      <c r="L58" s="63"/>
      <c r="M58" s="64"/>
      <c r="N58" s="41"/>
      <c r="O58" s="43"/>
    </row>
    <row r="59" spans="1:15">
      <c r="A59" s="44" t="s">
        <v>71</v>
      </c>
      <c r="B59" s="45" t="s">
        <v>2</v>
      </c>
      <c r="C59" s="46" t="s">
        <v>3</v>
      </c>
      <c r="D59" s="46" t="s">
        <v>4</v>
      </c>
      <c r="E59" s="46" t="s">
        <v>17</v>
      </c>
      <c r="F59" s="46" t="s">
        <v>5</v>
      </c>
      <c r="G59" s="47" t="s">
        <v>18</v>
      </c>
      <c r="H59" s="45" t="s">
        <v>2</v>
      </c>
      <c r="I59" s="46" t="s">
        <v>3</v>
      </c>
      <c r="J59" s="46" t="s">
        <v>4</v>
      </c>
      <c r="K59" s="46" t="s">
        <v>17</v>
      </c>
      <c r="L59" s="46" t="s">
        <v>5</v>
      </c>
      <c r="M59" s="47" t="s">
        <v>18</v>
      </c>
      <c r="N59" s="48" t="s">
        <v>77</v>
      </c>
      <c r="O59" s="48" t="s">
        <v>50</v>
      </c>
    </row>
    <row r="60" spans="1:15">
      <c r="A60" s="49" t="s">
        <v>72</v>
      </c>
      <c r="B60" s="22">
        <v>71</v>
      </c>
      <c r="C60" s="23">
        <v>1.25</v>
      </c>
      <c r="D60" s="23">
        <v>1</v>
      </c>
      <c r="E60" s="24">
        <v>0</v>
      </c>
      <c r="F60" s="24">
        <v>12</v>
      </c>
      <c r="G60" s="50">
        <f t="shared" ref="G60:G66" si="17">C60*B60</f>
        <v>88.75</v>
      </c>
      <c r="H60" s="4">
        <f>115+14</f>
        <v>129</v>
      </c>
      <c r="I60" s="23">
        <v>2.8</v>
      </c>
      <c r="J60" s="23">
        <v>2</v>
      </c>
      <c r="K60" s="24">
        <v>1</v>
      </c>
      <c r="L60" s="24">
        <v>14</v>
      </c>
      <c r="M60" s="51">
        <f t="shared" ref="M60:M66" si="18">I60*H60</f>
        <v>361.2</v>
      </c>
      <c r="N60" s="51">
        <f t="shared" ref="N60:N66" si="19">H60-B60</f>
        <v>58</v>
      </c>
      <c r="O60" s="7">
        <f t="shared" ref="O60:O66" si="20">M60/G60-1</f>
        <v>3.0698591549295777</v>
      </c>
    </row>
    <row r="61" spans="1:15">
      <c r="A61" s="49" t="s">
        <v>73</v>
      </c>
      <c r="B61" s="22">
        <v>68</v>
      </c>
      <c r="C61" s="32">
        <v>1.4</v>
      </c>
      <c r="D61" s="24">
        <v>1</v>
      </c>
      <c r="E61" s="24">
        <v>0</v>
      </c>
      <c r="F61" s="24">
        <v>10</v>
      </c>
      <c r="G61" s="50">
        <f t="shared" si="17"/>
        <v>95.199999999999989</v>
      </c>
      <c r="H61" s="22">
        <v>144</v>
      </c>
      <c r="I61" s="32">
        <v>4.75</v>
      </c>
      <c r="J61" s="24">
        <v>2</v>
      </c>
      <c r="K61" s="24">
        <v>0</v>
      </c>
      <c r="L61" s="24">
        <v>12</v>
      </c>
      <c r="M61" s="51">
        <f t="shared" si="18"/>
        <v>684</v>
      </c>
      <c r="N61" s="51">
        <f t="shared" si="19"/>
        <v>76</v>
      </c>
      <c r="O61" s="7">
        <f t="shared" si="20"/>
        <v>6.1848739495798331</v>
      </c>
    </row>
    <row r="62" spans="1:15">
      <c r="A62" s="49" t="s">
        <v>74</v>
      </c>
      <c r="B62" s="22">
        <f>60+26+28+46+89+118</f>
        <v>367</v>
      </c>
      <c r="C62" s="16">
        <v>1.5</v>
      </c>
      <c r="D62" s="23">
        <v>5</v>
      </c>
      <c r="E62" s="24">
        <v>0</v>
      </c>
      <c r="F62" s="24"/>
      <c r="G62" s="50">
        <f t="shared" si="17"/>
        <v>550.5</v>
      </c>
      <c r="H62" s="4">
        <f>441-29</f>
        <v>412</v>
      </c>
      <c r="I62" s="16">
        <v>2.16</v>
      </c>
      <c r="J62" s="23">
        <v>6</v>
      </c>
      <c r="K62" s="24">
        <v>1</v>
      </c>
      <c r="L62" s="24">
        <v>48</v>
      </c>
      <c r="M62" s="51">
        <f t="shared" si="18"/>
        <v>889.92000000000007</v>
      </c>
      <c r="N62" s="51">
        <f t="shared" si="19"/>
        <v>45</v>
      </c>
      <c r="O62" s="7">
        <f t="shared" si="20"/>
        <v>0.61656675749318812</v>
      </c>
    </row>
    <row r="63" spans="1:15">
      <c r="A63" s="49" t="s">
        <v>75</v>
      </c>
      <c r="B63" s="22">
        <v>45</v>
      </c>
      <c r="C63" s="16">
        <v>1.67</v>
      </c>
      <c r="D63" s="24">
        <v>1</v>
      </c>
      <c r="E63" s="24">
        <v>0</v>
      </c>
      <c r="F63" s="24">
        <v>6</v>
      </c>
      <c r="G63" s="50">
        <f t="shared" si="17"/>
        <v>75.149999999999991</v>
      </c>
      <c r="H63" s="4">
        <f>148+50</f>
        <v>198</v>
      </c>
      <c r="I63" s="16">
        <v>4</v>
      </c>
      <c r="J63" s="24">
        <v>3</v>
      </c>
      <c r="K63" s="24">
        <v>0</v>
      </c>
      <c r="L63" s="24">
        <v>21</v>
      </c>
      <c r="M63" s="51">
        <f t="shared" si="18"/>
        <v>792</v>
      </c>
      <c r="N63" s="51">
        <f t="shared" si="19"/>
        <v>153</v>
      </c>
      <c r="O63" s="7">
        <f t="shared" si="20"/>
        <v>9.5389221556886241</v>
      </c>
    </row>
    <row r="64" spans="1:15">
      <c r="A64" s="49" t="s">
        <v>11</v>
      </c>
      <c r="B64" s="22">
        <v>81</v>
      </c>
      <c r="C64" s="16">
        <v>1.9</v>
      </c>
      <c r="D64" s="24">
        <v>1</v>
      </c>
      <c r="E64" s="24">
        <v>0</v>
      </c>
      <c r="F64" s="24">
        <v>11</v>
      </c>
      <c r="G64" s="50">
        <f t="shared" si="17"/>
        <v>153.9</v>
      </c>
      <c r="H64" s="22">
        <v>50</v>
      </c>
      <c r="I64" s="16">
        <v>1</v>
      </c>
      <c r="J64" s="24">
        <v>1</v>
      </c>
      <c r="K64" s="24">
        <v>0</v>
      </c>
      <c r="L64" s="24">
        <v>10</v>
      </c>
      <c r="M64" s="51">
        <f t="shared" si="18"/>
        <v>50</v>
      </c>
      <c r="N64" s="51">
        <f t="shared" si="19"/>
        <v>-31</v>
      </c>
      <c r="O64" s="7">
        <f t="shared" si="20"/>
        <v>-0.67511371020142952</v>
      </c>
    </row>
    <row r="65" spans="1:15">
      <c r="A65" s="52" t="s">
        <v>76</v>
      </c>
      <c r="B65" s="53">
        <v>357</v>
      </c>
      <c r="C65" s="54">
        <v>2</v>
      </c>
      <c r="D65" s="54">
        <v>6</v>
      </c>
      <c r="E65" s="54">
        <v>5</v>
      </c>
      <c r="F65" s="54">
        <v>39</v>
      </c>
      <c r="G65" s="55">
        <f t="shared" si="17"/>
        <v>714</v>
      </c>
      <c r="H65" s="53">
        <f>7+112+15+25+109</f>
        <v>268</v>
      </c>
      <c r="I65" s="56">
        <f>(2*1.4+2*1.5+11*2.1)/(2+2+11)</f>
        <v>1.9266666666666667</v>
      </c>
      <c r="J65" s="59">
        <v>4</v>
      </c>
      <c r="K65" s="59">
        <v>3</v>
      </c>
      <c r="L65" s="59">
        <v>36</v>
      </c>
      <c r="M65" s="57">
        <f t="shared" si="18"/>
        <v>516.34666666666669</v>
      </c>
      <c r="N65" s="57">
        <f t="shared" si="19"/>
        <v>-89</v>
      </c>
      <c r="O65" s="11">
        <f t="shared" si="20"/>
        <v>-0.27682539682539675</v>
      </c>
    </row>
    <row r="66" spans="1:15">
      <c r="A66" s="49" t="s">
        <v>79</v>
      </c>
      <c r="B66" s="4">
        <f>72+7+5</f>
        <v>84</v>
      </c>
      <c r="C66" s="5">
        <v>2.29</v>
      </c>
      <c r="D66" s="6">
        <v>1</v>
      </c>
      <c r="E66" s="6">
        <v>2</v>
      </c>
      <c r="F66" s="6">
        <v>6</v>
      </c>
      <c r="G66" s="50">
        <f t="shared" si="17"/>
        <v>192.36</v>
      </c>
      <c r="H66" s="22">
        <f>438+203</f>
        <v>641</v>
      </c>
      <c r="I66" s="16">
        <v>3</v>
      </c>
      <c r="J66" s="24">
        <v>6</v>
      </c>
      <c r="K66" s="32">
        <v>1</v>
      </c>
      <c r="L66" s="24">
        <v>56</v>
      </c>
      <c r="M66" s="51">
        <f t="shared" si="18"/>
        <v>1923</v>
      </c>
      <c r="N66" s="51">
        <f t="shared" si="19"/>
        <v>557</v>
      </c>
      <c r="O66" s="7">
        <f t="shared" si="20"/>
        <v>8.9968808484092317</v>
      </c>
    </row>
    <row r="67" spans="1:15">
      <c r="B67" s="3"/>
      <c r="D67" s="23"/>
      <c r="E67" s="16"/>
      <c r="F67" s="58"/>
      <c r="G67" s="58"/>
      <c r="H67" s="58"/>
      <c r="I67" s="16"/>
      <c r="N67" s="38"/>
    </row>
    <row r="68" spans="1:15">
      <c r="A68" s="1" t="s">
        <v>19</v>
      </c>
      <c r="B68" s="3">
        <f>SUM(B60:B65)</f>
        <v>989</v>
      </c>
      <c r="C68" s="3"/>
      <c r="D68" s="16">
        <f>SUM(D60:D65)</f>
        <v>15</v>
      </c>
      <c r="E68" s="16">
        <f>SUM(E60:E65)</f>
        <v>5</v>
      </c>
      <c r="F68" s="16">
        <f>SUM(F60:F65)</f>
        <v>78</v>
      </c>
      <c r="G68" s="16">
        <f>SUM(G60:G65)</f>
        <v>1677.5</v>
      </c>
      <c r="H68" s="23">
        <f>SUM(H60:H65)</f>
        <v>1201</v>
      </c>
      <c r="I68" s="16"/>
      <c r="J68" s="3">
        <f>SUM(J60:J65)</f>
        <v>18</v>
      </c>
      <c r="K68" s="3">
        <f>SUM(K60:K65)</f>
        <v>5</v>
      </c>
      <c r="L68" s="3">
        <f>SUM(L60:L65)</f>
        <v>141</v>
      </c>
      <c r="M68" s="3">
        <f>SUM(M60:M65)</f>
        <v>3293.4666666666667</v>
      </c>
      <c r="N68" s="24">
        <f>SUM(N60:N65)</f>
        <v>212</v>
      </c>
      <c r="O68" s="60">
        <f>H68/B68-1</f>
        <v>0.21435793731041453</v>
      </c>
    </row>
    <row r="69" spans="1:15">
      <c r="A69" t="s">
        <v>85</v>
      </c>
      <c r="B69" s="3"/>
      <c r="C69" s="3"/>
      <c r="D69" s="16"/>
      <c r="E69" s="16"/>
      <c r="F69" s="16"/>
      <c r="G69" s="16"/>
      <c r="H69" s="23"/>
      <c r="I69" s="16"/>
      <c r="J69" s="3"/>
      <c r="K69" s="3"/>
      <c r="L69" s="3"/>
      <c r="M69" s="3"/>
      <c r="N69" s="24"/>
      <c r="O69" s="38"/>
    </row>
    <row r="70" spans="1:15">
      <c r="A70" s="21" t="s">
        <v>80</v>
      </c>
    </row>
    <row r="71" spans="1:15">
      <c r="A71" s="24"/>
    </row>
    <row r="73" spans="1:15">
      <c r="A73" s="1" t="s">
        <v>78</v>
      </c>
    </row>
    <row r="74" spans="1:15">
      <c r="A74" s="1" t="s">
        <v>49</v>
      </c>
      <c r="B74" s="1" t="s">
        <v>68</v>
      </c>
      <c r="C74" s="34" t="s">
        <v>21</v>
      </c>
      <c r="D74" s="34" t="s">
        <v>15</v>
      </c>
      <c r="E74" s="34" t="s">
        <v>24</v>
      </c>
      <c r="F74" s="34" t="s">
        <v>25</v>
      </c>
      <c r="G74" s="34" t="s">
        <v>63</v>
      </c>
      <c r="H74" s="34" t="s">
        <v>64</v>
      </c>
      <c r="I74" s="34" t="s">
        <v>62</v>
      </c>
      <c r="K74" t="s">
        <v>61</v>
      </c>
    </row>
    <row r="75" spans="1:15">
      <c r="A75" t="s">
        <v>66</v>
      </c>
      <c r="B75" s="3" t="s">
        <v>23</v>
      </c>
      <c r="C75" s="35">
        <f>O11</f>
        <v>65</v>
      </c>
      <c r="D75" s="35">
        <f>H11</f>
        <v>0</v>
      </c>
      <c r="E75" s="35">
        <f>V11</f>
        <v>388.8</v>
      </c>
      <c r="F75" s="35">
        <f>AC11</f>
        <v>48</v>
      </c>
      <c r="G75" s="35">
        <f>AX11</f>
        <v>62.5</v>
      </c>
      <c r="H75" s="35">
        <f>AQ11</f>
        <v>0</v>
      </c>
      <c r="I75" s="35">
        <f>AJ11</f>
        <v>62.5</v>
      </c>
      <c r="K75" s="35">
        <f t="shared" ref="K75:K85" si="21">SUM(D75:I75)</f>
        <v>561.79999999999995</v>
      </c>
    </row>
    <row r="76" spans="1:15">
      <c r="A76" t="s">
        <v>66</v>
      </c>
      <c r="B76" s="3" t="s">
        <v>45</v>
      </c>
      <c r="C76" s="35">
        <f>O12</f>
        <v>1518.6279999999997</v>
      </c>
      <c r="D76" s="35">
        <f>H12</f>
        <v>1518.6279999999997</v>
      </c>
      <c r="E76" s="35">
        <f>V12</f>
        <v>1518.6279999999997</v>
      </c>
      <c r="F76" s="35">
        <f>AC12</f>
        <v>1518.6279999999997</v>
      </c>
      <c r="G76" s="35">
        <f>AX12</f>
        <v>0</v>
      </c>
      <c r="H76" s="35">
        <f>AQ12</f>
        <v>0</v>
      </c>
      <c r="I76" s="35">
        <f>AJ12</f>
        <v>0</v>
      </c>
      <c r="K76" s="35">
        <f t="shared" si="21"/>
        <v>4555.8839999999991</v>
      </c>
    </row>
    <row r="77" spans="1:15">
      <c r="A77" t="s">
        <v>6</v>
      </c>
      <c r="B77" s="3" t="s">
        <v>6</v>
      </c>
      <c r="C77" s="35">
        <f>O10</f>
        <v>110</v>
      </c>
      <c r="D77" s="35">
        <f>H10</f>
        <v>0</v>
      </c>
      <c r="E77" s="35">
        <f>V10</f>
        <v>390</v>
      </c>
      <c r="F77" s="35">
        <f>AC10</f>
        <v>80</v>
      </c>
      <c r="G77" s="35">
        <f>AX10</f>
        <v>468.11999999999995</v>
      </c>
      <c r="H77" s="35">
        <f>AQ10</f>
        <v>0</v>
      </c>
      <c r="I77" s="35">
        <f>AJ10</f>
        <v>468.11999999999995</v>
      </c>
      <c r="K77" s="35">
        <f t="shared" si="21"/>
        <v>1406.2399999999998</v>
      </c>
    </row>
    <row r="78" spans="1:15">
      <c r="A78" t="s">
        <v>6</v>
      </c>
      <c r="B78" s="3" t="s">
        <v>8</v>
      </c>
      <c r="C78" s="35">
        <f>O13</f>
        <v>27</v>
      </c>
      <c r="D78" s="35">
        <f>H13</f>
        <v>27</v>
      </c>
      <c r="E78" s="35">
        <f>V13</f>
        <v>27</v>
      </c>
      <c r="F78" s="35">
        <f>AC13</f>
        <v>27</v>
      </c>
      <c r="G78" s="35">
        <f>AX13</f>
        <v>216.33333333333334</v>
      </c>
      <c r="H78" s="35">
        <f>AQ13</f>
        <v>168</v>
      </c>
      <c r="I78" s="35">
        <f>AJ13</f>
        <v>27</v>
      </c>
      <c r="K78" s="35">
        <f t="shared" si="21"/>
        <v>492.33333333333337</v>
      </c>
    </row>
    <row r="79" spans="1:15">
      <c r="A79" t="s">
        <v>6</v>
      </c>
      <c r="B79" s="3" t="s">
        <v>9</v>
      </c>
      <c r="C79" s="35">
        <f>O20</f>
        <v>572.01086065573759</v>
      </c>
      <c r="D79" s="35">
        <f>H20</f>
        <v>596.52504453441281</v>
      </c>
      <c r="E79" s="35">
        <f>V20</f>
        <v>812.27824034334753</v>
      </c>
      <c r="F79" s="35">
        <f>AC20</f>
        <v>1312.4225726141078</v>
      </c>
      <c r="G79" s="35">
        <f>AX20</f>
        <v>785.86902439024391</v>
      </c>
      <c r="H79" s="35">
        <f>AQ20</f>
        <v>0</v>
      </c>
      <c r="I79" s="35">
        <f>AJ20</f>
        <v>785.86902439024391</v>
      </c>
      <c r="K79" s="35">
        <f t="shared" si="21"/>
        <v>4292.9639062723554</v>
      </c>
    </row>
    <row r="80" spans="1:15">
      <c r="A80" t="s">
        <v>67</v>
      </c>
      <c r="B80" s="3" t="s">
        <v>10</v>
      </c>
      <c r="C80" s="35">
        <f t="shared" ref="C80:C85" si="22">O14</f>
        <v>80.600000000000009</v>
      </c>
      <c r="D80" s="35">
        <f t="shared" ref="D80:D85" si="23">H14</f>
        <v>80.600000000000009</v>
      </c>
      <c r="E80" s="35">
        <f t="shared" ref="E80:E85" si="24">V14</f>
        <v>80.600000000000009</v>
      </c>
      <c r="F80" s="35">
        <f t="shared" ref="F80:F85" si="25">AC14</f>
        <v>103.63636363636363</v>
      </c>
      <c r="G80" s="35">
        <f t="shared" ref="G80:G85" si="26">AX14</f>
        <v>80.600000000000009</v>
      </c>
      <c r="H80" s="35">
        <f t="shared" ref="H80:H85" si="27">AQ14</f>
        <v>0</v>
      </c>
      <c r="I80" s="35">
        <f t="shared" ref="I80:I85" si="28">AJ14</f>
        <v>80.600000000000009</v>
      </c>
      <c r="K80" s="35">
        <f t="shared" si="21"/>
        <v>426.03636363636372</v>
      </c>
    </row>
    <row r="81" spans="1:11">
      <c r="A81" t="s">
        <v>67</v>
      </c>
      <c r="B81" s="3" t="s">
        <v>11</v>
      </c>
      <c r="C81" s="35">
        <f t="shared" si="22"/>
        <v>736.3125</v>
      </c>
      <c r="D81" s="35">
        <f t="shared" si="23"/>
        <v>821.9354838709678</v>
      </c>
      <c r="E81" s="35">
        <f t="shared" si="24"/>
        <v>683.95454545454538</v>
      </c>
      <c r="F81" s="35">
        <f t="shared" si="25"/>
        <v>802.4</v>
      </c>
      <c r="G81" s="35">
        <f t="shared" si="26"/>
        <v>754.49352112676058</v>
      </c>
      <c r="H81" s="35">
        <f t="shared" si="27"/>
        <v>260.34749999999997</v>
      </c>
      <c r="I81" s="35">
        <f t="shared" si="28"/>
        <v>500.5</v>
      </c>
      <c r="K81" s="35">
        <f t="shared" si="21"/>
        <v>3823.6310504522739</v>
      </c>
    </row>
    <row r="82" spans="1:11">
      <c r="A82" t="s">
        <v>67</v>
      </c>
      <c r="B82" s="3" t="s">
        <v>26</v>
      </c>
      <c r="C82" s="35">
        <f t="shared" si="22"/>
        <v>810.79069767441877</v>
      </c>
      <c r="D82" s="35">
        <f t="shared" si="23"/>
        <v>810.79069767441877</v>
      </c>
      <c r="E82" s="35">
        <f t="shared" si="24"/>
        <v>810.79069767441877</v>
      </c>
      <c r="F82" s="35">
        <f t="shared" si="25"/>
        <v>922.36363636363637</v>
      </c>
      <c r="G82" s="35">
        <f t="shared" si="26"/>
        <v>622.29354838709685</v>
      </c>
      <c r="H82" s="35">
        <f t="shared" si="27"/>
        <v>484.13076923076932</v>
      </c>
      <c r="I82" s="35">
        <f t="shared" si="28"/>
        <v>188.88888888888889</v>
      </c>
      <c r="K82" s="35">
        <f t="shared" si="21"/>
        <v>3839.2582382192286</v>
      </c>
    </row>
    <row r="83" spans="1:11">
      <c r="A83" t="s">
        <v>67</v>
      </c>
      <c r="B83" s="3" t="s">
        <v>12</v>
      </c>
      <c r="C83" s="35">
        <f t="shared" si="22"/>
        <v>16</v>
      </c>
      <c r="D83" s="35">
        <f t="shared" si="23"/>
        <v>1</v>
      </c>
      <c r="E83" s="35">
        <f t="shared" si="24"/>
        <v>27</v>
      </c>
      <c r="F83" s="35">
        <f t="shared" si="25"/>
        <v>24</v>
      </c>
      <c r="G83" s="35">
        <f t="shared" si="26"/>
        <v>876</v>
      </c>
      <c r="H83" s="35">
        <f t="shared" si="27"/>
        <v>895.11111111111109</v>
      </c>
      <c r="I83" s="35">
        <f t="shared" si="28"/>
        <v>14</v>
      </c>
      <c r="K83" s="35">
        <f t="shared" si="21"/>
        <v>1837.1111111111111</v>
      </c>
    </row>
    <row r="84" spans="1:11">
      <c r="A84" t="s">
        <v>67</v>
      </c>
      <c r="B84" s="3" t="s">
        <v>13</v>
      </c>
      <c r="C84" s="35">
        <f t="shared" si="22"/>
        <v>1636.0811764705882</v>
      </c>
      <c r="D84" s="35">
        <f t="shared" si="23"/>
        <v>1792.7042307692307</v>
      </c>
      <c r="E84" s="35">
        <f t="shared" si="24"/>
        <v>1912.5</v>
      </c>
      <c r="F84" s="35">
        <f t="shared" si="25"/>
        <v>2038.0748837209303</v>
      </c>
      <c r="G84" s="35">
        <f t="shared" si="26"/>
        <v>2689.8005172413791</v>
      </c>
      <c r="H84" s="35">
        <f t="shared" si="27"/>
        <v>2349.5416666666665</v>
      </c>
      <c r="I84" s="35">
        <f t="shared" si="28"/>
        <v>725.17588235294113</v>
      </c>
      <c r="K84" s="35">
        <f t="shared" si="21"/>
        <v>11507.797180751148</v>
      </c>
    </row>
    <row r="85" spans="1:11">
      <c r="A85" t="s">
        <v>67</v>
      </c>
      <c r="B85" s="3" t="s">
        <v>14</v>
      </c>
      <c r="C85" s="35">
        <f t="shared" si="22"/>
        <v>0</v>
      </c>
      <c r="D85" s="35">
        <f t="shared" si="23"/>
        <v>192.36</v>
      </c>
      <c r="E85" s="35">
        <f t="shared" si="24"/>
        <v>0</v>
      </c>
      <c r="F85" s="35">
        <f t="shared" si="25"/>
        <v>0</v>
      </c>
      <c r="G85" s="35">
        <f t="shared" si="26"/>
        <v>0</v>
      </c>
      <c r="H85" s="35">
        <f t="shared" si="27"/>
        <v>0</v>
      </c>
      <c r="I85" s="35">
        <f t="shared" si="28"/>
        <v>0</v>
      </c>
      <c r="K85" s="35">
        <f t="shared" si="21"/>
        <v>192.36</v>
      </c>
    </row>
    <row r="86" spans="1:11">
      <c r="B86" s="1"/>
      <c r="C86" s="35"/>
      <c r="D86" s="35"/>
      <c r="E86" s="35"/>
      <c r="F86" s="35"/>
      <c r="G86" s="35"/>
      <c r="H86" s="35"/>
      <c r="I86" s="35"/>
      <c r="K86" s="36">
        <f>SUM(K75:K85)</f>
        <v>32935.415183775811</v>
      </c>
    </row>
    <row r="87" spans="1:11">
      <c r="B87" s="1"/>
      <c r="C87" s="35"/>
      <c r="D87" s="35"/>
      <c r="E87" s="35"/>
      <c r="F87" s="35"/>
      <c r="G87" s="35"/>
      <c r="H87" s="35"/>
      <c r="I87" s="35"/>
      <c r="K87" s="36"/>
    </row>
    <row r="88" spans="1:11">
      <c r="A88" s="1" t="s">
        <v>49</v>
      </c>
      <c r="B88" s="1" t="s">
        <v>68</v>
      </c>
      <c r="C88" s="34" t="s">
        <v>21</v>
      </c>
      <c r="D88" s="34" t="s">
        <v>15</v>
      </c>
      <c r="E88" s="34" t="s">
        <v>24</v>
      </c>
      <c r="F88" s="34" t="s">
        <v>25</v>
      </c>
      <c r="G88" s="34" t="s">
        <v>63</v>
      </c>
      <c r="H88" s="34" t="s">
        <v>64</v>
      </c>
      <c r="I88" s="34" t="s">
        <v>62</v>
      </c>
    </row>
    <row r="89" spans="1:11">
      <c r="A89" t="s">
        <v>66</v>
      </c>
      <c r="B89" s="3" t="s">
        <v>23</v>
      </c>
      <c r="C89" s="38">
        <f>P11</f>
        <v>1.1664584196344561E-2</v>
      </c>
      <c r="D89" s="38">
        <f>I11</f>
        <v>0</v>
      </c>
      <c r="E89" s="38">
        <f>W11</f>
        <v>5.8452528100561979E-2</v>
      </c>
      <c r="F89" s="38">
        <f>AD11</f>
        <v>6.9802693678360089E-3</v>
      </c>
      <c r="G89" s="38">
        <f>AY11</f>
        <v>9.5332375224102244E-3</v>
      </c>
      <c r="H89" s="38">
        <f>AR11</f>
        <v>0</v>
      </c>
      <c r="I89" s="38">
        <f>AK11</f>
        <v>2.1909423462355911E-2</v>
      </c>
      <c r="K89" s="38">
        <f t="shared" ref="K89:K99" si="29">SUM(C89:I89)</f>
        <v>0.10854004264950869</v>
      </c>
    </row>
    <row r="90" spans="1:11">
      <c r="A90" t="s">
        <v>66</v>
      </c>
      <c r="B90" s="3" t="s">
        <v>45</v>
      </c>
      <c r="C90" s="38">
        <f>P12</f>
        <v>0.27252560259886682</v>
      </c>
      <c r="D90" s="38">
        <f>I12</f>
        <v>0.25997033339184616</v>
      </c>
      <c r="E90" s="38">
        <f>W12</f>
        <v>0.22831184630735651</v>
      </c>
      <c r="F90" s="38">
        <f>AD12</f>
        <v>0.22084234394870961</v>
      </c>
      <c r="G90" s="38">
        <f>AY12</f>
        <v>0</v>
      </c>
      <c r="H90" s="38">
        <f>AR12</f>
        <v>0</v>
      </c>
      <c r="I90" s="38">
        <f>AK12</f>
        <v>0</v>
      </c>
      <c r="K90" s="38">
        <f t="shared" si="29"/>
        <v>0.98165012624677905</v>
      </c>
    </row>
    <row r="91" spans="1:11">
      <c r="A91" t="s">
        <v>6</v>
      </c>
      <c r="B91" s="3" t="s">
        <v>6</v>
      </c>
      <c r="C91" s="38">
        <f>P10</f>
        <v>1.974006556304464E-2</v>
      </c>
      <c r="D91" s="38">
        <f>I10</f>
        <v>0</v>
      </c>
      <c r="E91" s="38">
        <f>W10</f>
        <v>5.8632937137909388E-2</v>
      </c>
      <c r="F91" s="38">
        <f>AD10</f>
        <v>1.1633782279726682E-2</v>
      </c>
      <c r="G91" s="38">
        <f>AY10</f>
        <v>7.1403186383850778E-2</v>
      </c>
      <c r="H91" s="38">
        <f>AR10</f>
        <v>0</v>
      </c>
      <c r="I91" s="38">
        <f>AK10</f>
        <v>0.16409982897916878</v>
      </c>
      <c r="K91" s="38">
        <f t="shared" si="29"/>
        <v>0.32550980034370025</v>
      </c>
    </row>
    <row r="92" spans="1:11">
      <c r="A92" t="s">
        <v>6</v>
      </c>
      <c r="B92" s="3" t="s">
        <v>8</v>
      </c>
      <c r="C92" s="38">
        <f>P13</f>
        <v>4.8452888200200481E-3</v>
      </c>
      <c r="D92" s="38">
        <f>I13</f>
        <v>4.6220661028111218E-3</v>
      </c>
      <c r="E92" s="38">
        <f>W13</f>
        <v>4.0592033403168042E-3</v>
      </c>
      <c r="F92" s="38">
        <f>AD13</f>
        <v>3.926401519407755E-3</v>
      </c>
      <c r="G92" s="38">
        <f>AY13</f>
        <v>3.2997712810902594E-2</v>
      </c>
      <c r="H92" s="38">
        <f>AR13</f>
        <v>4.0412485942893733E-2</v>
      </c>
      <c r="I92" s="38">
        <f>AK13</f>
        <v>9.4648709357377549E-3</v>
      </c>
      <c r="K92" s="38">
        <f t="shared" si="29"/>
        <v>0.10032802947208981</v>
      </c>
    </row>
    <row r="93" spans="1:11">
      <c r="A93" t="s">
        <v>6</v>
      </c>
      <c r="B93" s="3" t="s">
        <v>9</v>
      </c>
      <c r="C93" s="38">
        <f>P20</f>
        <v>0.10265028992834412</v>
      </c>
      <c r="D93" s="38">
        <f>I20</f>
        <v>0.10211771066001497</v>
      </c>
      <c r="E93" s="38">
        <f>W20</f>
        <v>0.12211861283216192</v>
      </c>
      <c r="F93" s="38">
        <f>AD20</f>
        <v>0.1908554808598914</v>
      </c>
      <c r="G93" s="38">
        <f>AY20</f>
        <v>0.11987001713627182</v>
      </c>
      <c r="H93" s="38">
        <f>AR20</f>
        <v>0</v>
      </c>
      <c r="I93" s="38">
        <f>AK20</f>
        <v>0.27548699586102976</v>
      </c>
      <c r="K93" s="38">
        <f t="shared" si="29"/>
        <v>0.91309910727771393</v>
      </c>
    </row>
    <row r="94" spans="1:11">
      <c r="A94" t="s">
        <v>67</v>
      </c>
      <c r="B94" s="3" t="s">
        <v>10</v>
      </c>
      <c r="C94" s="38">
        <f t="shared" ref="C94:C99" si="30">P14</f>
        <v>1.4464084403467256E-2</v>
      </c>
      <c r="D94" s="38">
        <f t="shared" ref="D94:D99" si="31">I14</f>
        <v>1.3797723255058387E-2</v>
      </c>
      <c r="E94" s="38">
        <f t="shared" ref="E94:E99" si="32">W14</f>
        <v>1.2117473675167943E-2</v>
      </c>
      <c r="F94" s="38">
        <f t="shared" ref="F94:F99" si="33">AD14</f>
        <v>1.5071036135100472E-2</v>
      </c>
      <c r="G94" s="38">
        <f t="shared" ref="G94:G99" si="34">AY14</f>
        <v>1.2294063108900227E-2</v>
      </c>
      <c r="H94" s="38">
        <f t="shared" ref="H94:H99" si="35">AR14</f>
        <v>0</v>
      </c>
      <c r="I94" s="38">
        <f t="shared" ref="I94:I99" si="36">AK14</f>
        <v>2.8254392497054189E-2</v>
      </c>
      <c r="K94" s="38">
        <f t="shared" si="29"/>
        <v>9.5998773074748481E-2</v>
      </c>
    </row>
    <row r="95" spans="1:11">
      <c r="A95" t="s">
        <v>67</v>
      </c>
      <c r="B95" s="3" t="s">
        <v>11</v>
      </c>
      <c r="C95" s="38">
        <f t="shared" si="30"/>
        <v>0.13213506386263008</v>
      </c>
      <c r="D95" s="38">
        <f t="shared" si="31"/>
        <v>0.14070519032213546</v>
      </c>
      <c r="E95" s="38">
        <f t="shared" si="32"/>
        <v>0.10282631761236859</v>
      </c>
      <c r="F95" s="38">
        <f t="shared" si="33"/>
        <v>0.11668683626565861</v>
      </c>
      <c r="G95" s="38">
        <f t="shared" si="34"/>
        <v>0.11508425513633673</v>
      </c>
      <c r="H95" s="38">
        <f t="shared" si="35"/>
        <v>6.2626724309628123E-2</v>
      </c>
      <c r="I95" s="38">
        <f t="shared" si="36"/>
        <v>0.17545066308654614</v>
      </c>
      <c r="K95" s="38">
        <f t="shared" si="29"/>
        <v>0.84551505059530374</v>
      </c>
    </row>
    <row r="96" spans="1:11">
      <c r="A96" t="s">
        <v>67</v>
      </c>
      <c r="B96" s="3" t="s">
        <v>26</v>
      </c>
      <c r="C96" s="38">
        <f t="shared" si="30"/>
        <v>0.14550055936363393</v>
      </c>
      <c r="D96" s="38">
        <f t="shared" si="31"/>
        <v>0.13879734074798189</v>
      </c>
      <c r="E96" s="38">
        <f t="shared" si="32"/>
        <v>0.12189497438139972</v>
      </c>
      <c r="F96" s="38">
        <f t="shared" si="33"/>
        <v>0.13413222160239421</v>
      </c>
      <c r="G96" s="38">
        <f t="shared" si="34"/>
        <v>9.4919555287002785E-2</v>
      </c>
      <c r="H96" s="38">
        <f t="shared" si="35"/>
        <v>0.11645790420274284</v>
      </c>
      <c r="I96" s="38">
        <f t="shared" si="36"/>
        <v>6.6215146464008973E-2</v>
      </c>
      <c r="K96" s="38">
        <f t="shared" si="29"/>
        <v>0.81791770204916436</v>
      </c>
    </row>
    <row r="97" spans="1:11">
      <c r="A97" t="s">
        <v>67</v>
      </c>
      <c r="B97" s="3" t="s">
        <v>12</v>
      </c>
      <c r="C97" s="38">
        <f t="shared" si="30"/>
        <v>2.8712822637155843E-3</v>
      </c>
      <c r="D97" s="38">
        <f t="shared" si="31"/>
        <v>1.7118763343744895E-4</v>
      </c>
      <c r="E97" s="38">
        <f t="shared" si="32"/>
        <v>4.0592033403168042E-3</v>
      </c>
      <c r="F97" s="38">
        <f t="shared" si="33"/>
        <v>3.4901346839180045E-3</v>
      </c>
      <c r="G97" s="38">
        <f t="shared" si="34"/>
        <v>0.13361785711410171</v>
      </c>
      <c r="H97" s="38">
        <f t="shared" si="35"/>
        <v>0.21531943568515338</v>
      </c>
      <c r="I97" s="38">
        <f t="shared" si="36"/>
        <v>4.9077108555677243E-3</v>
      </c>
      <c r="K97" s="38">
        <f t="shared" si="29"/>
        <v>0.36443681157621066</v>
      </c>
    </row>
    <row r="98" spans="1:11">
      <c r="A98" t="s">
        <v>67</v>
      </c>
      <c r="B98" s="3" t="s">
        <v>13</v>
      </c>
      <c r="C98" s="38">
        <f t="shared" si="30"/>
        <v>0.29360317899993293</v>
      </c>
      <c r="D98" s="38">
        <f t="shared" si="31"/>
        <v>0.30688879471868696</v>
      </c>
      <c r="E98" s="38">
        <f t="shared" si="32"/>
        <v>0.28752690327244029</v>
      </c>
      <c r="F98" s="38">
        <f t="shared" si="33"/>
        <v>0.29638149333735719</v>
      </c>
      <c r="G98" s="38">
        <f t="shared" si="34"/>
        <v>0.41028011550022314</v>
      </c>
      <c r="H98" s="38">
        <f t="shared" si="35"/>
        <v>0.56518344985958202</v>
      </c>
      <c r="I98" s="38">
        <f t="shared" si="36"/>
        <v>0.25421096785853087</v>
      </c>
      <c r="K98" s="38">
        <f t="shared" si="29"/>
        <v>2.4140749035467532</v>
      </c>
    </row>
    <row r="99" spans="1:11">
      <c r="A99" t="s">
        <v>67</v>
      </c>
      <c r="B99" s="3" t="s">
        <v>14</v>
      </c>
      <c r="C99" s="38">
        <f t="shared" si="30"/>
        <v>0</v>
      </c>
      <c r="D99" s="38">
        <f t="shared" si="31"/>
        <v>3.2929653168027685E-2</v>
      </c>
      <c r="E99" s="38">
        <f t="shared" si="32"/>
        <v>0</v>
      </c>
      <c r="F99" s="38">
        <f t="shared" si="33"/>
        <v>0</v>
      </c>
      <c r="G99" s="38">
        <f t="shared" si="34"/>
        <v>0</v>
      </c>
      <c r="H99" s="38">
        <f t="shared" si="35"/>
        <v>0</v>
      </c>
      <c r="I99" s="38">
        <f t="shared" si="36"/>
        <v>0</v>
      </c>
      <c r="K99" s="38">
        <f t="shared" si="29"/>
        <v>3.2929653168027685E-2</v>
      </c>
    </row>
    <row r="100" spans="1:11">
      <c r="B100" s="1"/>
      <c r="C100" s="39">
        <f t="shared" ref="C100:I100" si="37">SUM(C89:C99)</f>
        <v>1</v>
      </c>
      <c r="D100" s="39">
        <f t="shared" si="37"/>
        <v>1.0000000000000002</v>
      </c>
      <c r="E100" s="39">
        <f t="shared" si="37"/>
        <v>1</v>
      </c>
      <c r="F100" s="39">
        <f t="shared" si="37"/>
        <v>1</v>
      </c>
      <c r="G100" s="39">
        <f t="shared" si="37"/>
        <v>1</v>
      </c>
      <c r="H100" s="39">
        <f t="shared" si="37"/>
        <v>1</v>
      </c>
      <c r="I100" s="39">
        <f t="shared" si="37"/>
        <v>1</v>
      </c>
      <c r="K100" s="38"/>
    </row>
    <row r="101" spans="1:11">
      <c r="B101" s="1"/>
      <c r="C101" s="38"/>
      <c r="D101" s="38"/>
      <c r="E101" s="38"/>
      <c r="F101" s="38"/>
      <c r="G101" s="38"/>
      <c r="H101" s="38"/>
      <c r="I101" s="38"/>
      <c r="K101" s="38"/>
    </row>
    <row r="102" spans="1:11">
      <c r="B102" s="1"/>
      <c r="C102" s="62" t="s">
        <v>81</v>
      </c>
      <c r="D102" s="62"/>
      <c r="E102" s="62"/>
      <c r="F102" s="62"/>
      <c r="G102" s="62"/>
      <c r="H102" s="62"/>
      <c r="I102" s="62"/>
      <c r="K102" s="38"/>
    </row>
    <row r="103" spans="1:11">
      <c r="B103" s="40"/>
      <c r="C103" s="34" t="s">
        <v>15</v>
      </c>
      <c r="D103" s="34" t="s">
        <v>21</v>
      </c>
      <c r="E103" s="34" t="s">
        <v>25</v>
      </c>
      <c r="F103" s="34" t="s">
        <v>24</v>
      </c>
      <c r="G103" s="34" t="s">
        <v>63</v>
      </c>
      <c r="H103" s="34" t="s">
        <v>64</v>
      </c>
      <c r="I103" s="34" t="s">
        <v>62</v>
      </c>
      <c r="J103" s="40"/>
      <c r="K103" s="40"/>
    </row>
    <row r="104" spans="1:11">
      <c r="B104" s="37" t="s">
        <v>67</v>
      </c>
      <c r="C104" s="61">
        <f>C107</f>
        <v>3699.3904123146172</v>
      </c>
      <c r="D104" s="61">
        <f>D107</f>
        <v>3279.784374145007</v>
      </c>
      <c r="E104" s="61">
        <f>E107</f>
        <v>3890.4748837209304</v>
      </c>
      <c r="F104" s="61">
        <f>F107</f>
        <v>3514.8452431289643</v>
      </c>
      <c r="G104" s="61">
        <f>I104+H104</f>
        <v>7046.2958182503762</v>
      </c>
      <c r="H104" s="61">
        <f>H107+M66-C110</f>
        <v>5537.1310470085464</v>
      </c>
      <c r="I104" s="61">
        <f>I107</f>
        <v>1509.1647712418301</v>
      </c>
      <c r="J104" s="40"/>
      <c r="K104" s="40" t="s">
        <v>83</v>
      </c>
    </row>
    <row r="105" spans="1:11">
      <c r="B105" s="1" t="s">
        <v>6</v>
      </c>
      <c r="C105" s="61">
        <f>SUM(D77:D78)</f>
        <v>27</v>
      </c>
      <c r="D105" s="61">
        <f>SUM(C77:C78)</f>
        <v>137</v>
      </c>
      <c r="E105" s="61">
        <f>SUM(F77:F78)</f>
        <v>107</v>
      </c>
      <c r="F105" s="61">
        <f>SUM(E77:E78)</f>
        <v>417</v>
      </c>
      <c r="G105" s="61">
        <f>SUM(G77:G78)</f>
        <v>684.45333333333326</v>
      </c>
      <c r="H105" s="61">
        <f>SUM(H77:H78)+C110</f>
        <v>355.5</v>
      </c>
      <c r="I105" s="61">
        <f>SUM(I77:I78)</f>
        <v>495.11999999999995</v>
      </c>
      <c r="J105" s="40"/>
      <c r="K105" s="40"/>
    </row>
    <row r="106" spans="1:11">
      <c r="B106" s="37" t="s">
        <v>66</v>
      </c>
      <c r="C106" s="61">
        <f>SUM(D75:D76)</f>
        <v>1518.6279999999997</v>
      </c>
      <c r="D106" s="61">
        <f>SUM(C75:C76)</f>
        <v>1583.6279999999997</v>
      </c>
      <c r="E106" s="61">
        <f>SUM(F75:F76)</f>
        <v>1566.6279999999997</v>
      </c>
      <c r="F106" s="61">
        <f>SUM(E75:E76)</f>
        <v>1907.4279999999997</v>
      </c>
      <c r="G106" s="61">
        <f>SUM(G75:G76)</f>
        <v>62.5</v>
      </c>
      <c r="H106" s="61">
        <f>SUM(H75:H76)</f>
        <v>0</v>
      </c>
      <c r="I106" s="61">
        <f>SUM(I75:I76)</f>
        <v>62.5</v>
      </c>
    </row>
    <row r="107" spans="1:11">
      <c r="B107" s="37" t="s">
        <v>82</v>
      </c>
      <c r="C107" s="61">
        <f>SUM(D80:D85)</f>
        <v>3699.3904123146172</v>
      </c>
      <c r="D107" s="61">
        <f>SUM(C80:C85)</f>
        <v>3279.784374145007</v>
      </c>
      <c r="E107" s="61">
        <f>SUM(F80:F85)</f>
        <v>3890.4748837209304</v>
      </c>
      <c r="F107" s="61">
        <f>SUM(E80:E85)</f>
        <v>3514.8452431289643</v>
      </c>
      <c r="G107" s="61">
        <f>SUM(G80:G85)</f>
        <v>5023.1875867552371</v>
      </c>
      <c r="H107" s="61">
        <f>SUM(H80:H85)-C110</f>
        <v>3801.6310470085468</v>
      </c>
      <c r="I107" s="61">
        <f>SUM(I80:I85)</f>
        <v>1509.1647712418301</v>
      </c>
      <c r="K107" t="s">
        <v>84</v>
      </c>
    </row>
    <row r="108" spans="1:11">
      <c r="B108" s="37" t="s">
        <v>88</v>
      </c>
      <c r="C108" s="61">
        <f>D79</f>
        <v>596.52504453441281</v>
      </c>
      <c r="D108" s="61">
        <f>C79</f>
        <v>572.01086065573759</v>
      </c>
      <c r="E108" s="61">
        <f>F79</f>
        <v>1312.4225726141078</v>
      </c>
      <c r="F108" s="61">
        <f>E79</f>
        <v>812.27824034334753</v>
      </c>
      <c r="G108" s="61">
        <f>G79</f>
        <v>785.86902439024391</v>
      </c>
      <c r="H108" s="61">
        <f>H79</f>
        <v>0</v>
      </c>
      <c r="I108" s="61">
        <f>I79</f>
        <v>785.86902439024391</v>
      </c>
    </row>
    <row r="109" spans="1:11">
      <c r="B109" s="37"/>
      <c r="C109" s="61"/>
      <c r="D109" s="61"/>
      <c r="E109" s="61"/>
      <c r="F109" s="61"/>
      <c r="G109" s="61"/>
      <c r="H109" s="61"/>
      <c r="I109" s="61"/>
    </row>
    <row r="110" spans="1:11">
      <c r="B110" s="37" t="s">
        <v>86</v>
      </c>
      <c r="C110" s="61">
        <f>5*25*1.5</f>
        <v>187.5</v>
      </c>
      <c r="D110" s="61" t="s">
        <v>87</v>
      </c>
      <c r="E110" s="61"/>
      <c r="F110" s="61"/>
      <c r="G110" s="61"/>
      <c r="H110" s="61"/>
      <c r="I110" s="61"/>
    </row>
    <row r="154" spans="2:13">
      <c r="B154" t="s">
        <v>65</v>
      </c>
    </row>
    <row r="156" spans="2:13">
      <c r="B156" t="s">
        <v>46</v>
      </c>
      <c r="C156" t="s">
        <v>47</v>
      </c>
      <c r="D156" t="s">
        <v>48</v>
      </c>
      <c r="E156" t="s">
        <v>49</v>
      </c>
      <c r="F156" s="23" t="s">
        <v>1</v>
      </c>
      <c r="G156" s="31" t="s">
        <v>2</v>
      </c>
      <c r="H156" s="31" t="s">
        <v>3</v>
      </c>
      <c r="I156" s="31" t="s">
        <v>4</v>
      </c>
      <c r="J156" s="31" t="s">
        <v>17</v>
      </c>
      <c r="K156" s="31" t="s">
        <v>5</v>
      </c>
      <c r="L156" s="31" t="s">
        <v>18</v>
      </c>
      <c r="M156" s="31" t="s">
        <v>50</v>
      </c>
    </row>
    <row r="157" spans="2:13">
      <c r="B157" t="s">
        <v>51</v>
      </c>
      <c r="C157" t="s">
        <v>51</v>
      </c>
      <c r="D157" t="s">
        <v>51</v>
      </c>
      <c r="E157" t="s">
        <v>51</v>
      </c>
      <c r="F157" t="s">
        <v>51</v>
      </c>
      <c r="G157" t="s">
        <v>52</v>
      </c>
      <c r="H157" t="s">
        <v>53</v>
      </c>
      <c r="I157" t="s">
        <v>52</v>
      </c>
      <c r="J157" t="s">
        <v>52</v>
      </c>
      <c r="K157" t="s">
        <v>52</v>
      </c>
      <c r="L157" t="s">
        <v>53</v>
      </c>
      <c r="M157" t="s">
        <v>53</v>
      </c>
    </row>
    <row r="158" spans="2:13">
      <c r="B158" t="s">
        <v>60</v>
      </c>
      <c r="C158" t="s">
        <v>15</v>
      </c>
      <c r="D158" t="s">
        <v>54</v>
      </c>
      <c r="E158" t="s">
        <v>55</v>
      </c>
      <c r="F158" s="3" t="s">
        <v>6</v>
      </c>
      <c r="G158" s="23">
        <v>0</v>
      </c>
      <c r="H158" s="16">
        <v>0</v>
      </c>
      <c r="I158" s="23">
        <v>0</v>
      </c>
      <c r="J158" s="23">
        <v>0</v>
      </c>
      <c r="K158" s="23">
        <v>0</v>
      </c>
      <c r="L158" s="16">
        <f>G158*H158</f>
        <v>0</v>
      </c>
      <c r="M158" s="33">
        <f t="shared" ref="M158:M168" si="38">L158/$H$22</f>
        <v>0</v>
      </c>
    </row>
    <row r="159" spans="2:13">
      <c r="B159" t="s">
        <v>60</v>
      </c>
      <c r="C159" t="s">
        <v>15</v>
      </c>
      <c r="D159" t="s">
        <v>54</v>
      </c>
      <c r="E159" t="s">
        <v>55</v>
      </c>
      <c r="F159" s="3" t="s">
        <v>23</v>
      </c>
      <c r="G159" s="23">
        <v>0</v>
      </c>
      <c r="H159" s="16">
        <v>0</v>
      </c>
      <c r="I159" s="23">
        <v>0</v>
      </c>
      <c r="J159" s="23">
        <v>0</v>
      </c>
      <c r="K159" s="23">
        <v>0</v>
      </c>
      <c r="L159" s="16">
        <f t="shared" ref="L159:L167" si="39">G159*H159</f>
        <v>0</v>
      </c>
      <c r="M159" s="33">
        <f t="shared" si="38"/>
        <v>0</v>
      </c>
    </row>
    <row r="160" spans="2:13">
      <c r="B160" t="s">
        <v>60</v>
      </c>
      <c r="C160" t="s">
        <v>15</v>
      </c>
      <c r="D160" t="s">
        <v>54</v>
      </c>
      <c r="E160" t="s">
        <v>55</v>
      </c>
      <c r="F160" s="3" t="s">
        <v>56</v>
      </c>
      <c r="G160" s="23">
        <v>662</v>
      </c>
      <c r="H160" s="16">
        <f>SUM(26*2.5+5*1.2+19*2.3)/K160</f>
        <v>2.2939999999999996</v>
      </c>
      <c r="I160" s="23">
        <v>4</v>
      </c>
      <c r="J160" s="23">
        <v>2</v>
      </c>
      <c r="K160" s="23">
        <f>26+19+5</f>
        <v>50</v>
      </c>
      <c r="L160" s="16">
        <f t="shared" si="39"/>
        <v>1518.6279999999997</v>
      </c>
      <c r="M160" s="33">
        <f t="shared" si="38"/>
        <v>0.25997033339184616</v>
      </c>
    </row>
    <row r="161" spans="2:13">
      <c r="B161" t="s">
        <v>60</v>
      </c>
      <c r="C161" t="s">
        <v>15</v>
      </c>
      <c r="D161" t="s">
        <v>54</v>
      </c>
      <c r="E161" t="s">
        <v>55</v>
      </c>
      <c r="F161" s="3" t="s">
        <v>8</v>
      </c>
      <c r="G161" s="23">
        <v>9</v>
      </c>
      <c r="H161" s="16">
        <v>3</v>
      </c>
      <c r="I161" s="23">
        <v>1</v>
      </c>
      <c r="J161" s="23">
        <v>1</v>
      </c>
      <c r="K161" s="23">
        <v>3</v>
      </c>
      <c r="L161" s="16">
        <f t="shared" si="39"/>
        <v>27</v>
      </c>
      <c r="M161" s="33">
        <f t="shared" si="38"/>
        <v>4.6220661028111218E-3</v>
      </c>
    </row>
    <row r="162" spans="2:13">
      <c r="B162" t="s">
        <v>60</v>
      </c>
      <c r="C162" t="s">
        <v>15</v>
      </c>
      <c r="D162" t="s">
        <v>54</v>
      </c>
      <c r="E162" t="s">
        <v>57</v>
      </c>
      <c r="F162" s="3" t="s">
        <v>10</v>
      </c>
      <c r="G162" s="23">
        <f>49+13</f>
        <v>62</v>
      </c>
      <c r="H162" s="16">
        <v>1.3</v>
      </c>
      <c r="I162" s="23">
        <v>1</v>
      </c>
      <c r="J162" s="23">
        <v>1</v>
      </c>
      <c r="K162" s="23">
        <v>10</v>
      </c>
      <c r="L162" s="16">
        <f t="shared" si="39"/>
        <v>80.600000000000009</v>
      </c>
      <c r="M162" s="33">
        <f t="shared" si="38"/>
        <v>1.3797723255058387E-2</v>
      </c>
    </row>
    <row r="163" spans="2:13">
      <c r="B163" t="s">
        <v>60</v>
      </c>
      <c r="C163" t="s">
        <v>15</v>
      </c>
      <c r="D163" t="s">
        <v>54</v>
      </c>
      <c r="E163" t="s">
        <v>57</v>
      </c>
      <c r="F163" s="3" t="s">
        <v>11</v>
      </c>
      <c r="G163" s="23">
        <f>81+89+118+5+16+4+5+4+5+18+13+6</f>
        <v>364</v>
      </c>
      <c r="H163" s="16">
        <f>SUM(11*1.9,9*1.9,10*2, 6*2)/K163</f>
        <v>2.2580645161290325</v>
      </c>
      <c r="I163" s="23">
        <v>3</v>
      </c>
      <c r="J163" s="23">
        <v>8</v>
      </c>
      <c r="K163" s="23">
        <f>11+9+10+1</f>
        <v>31</v>
      </c>
      <c r="L163" s="16">
        <f t="shared" si="39"/>
        <v>821.9354838709678</v>
      </c>
      <c r="M163" s="33">
        <f t="shared" si="38"/>
        <v>0.14070519032213546</v>
      </c>
    </row>
    <row r="164" spans="2:13">
      <c r="B164" t="s">
        <v>60</v>
      </c>
      <c r="C164" t="s">
        <v>15</v>
      </c>
      <c r="D164" t="s">
        <v>54</v>
      </c>
      <c r="E164" t="s">
        <v>57</v>
      </c>
      <c r="F164" s="3" t="s">
        <v>26</v>
      </c>
      <c r="G164" s="23">
        <f>(3+9+3+3+3)+22+62+6+8+4+6+11+59+64+10+29+98</f>
        <v>400</v>
      </c>
      <c r="H164" s="16">
        <f>SUM(2.3*5,2.12*8,8*2,2.8*5,2,6,9*2.3)/K164</f>
        <v>2.0269767441860469</v>
      </c>
      <c r="I164" s="23">
        <v>7</v>
      </c>
      <c r="J164" s="23">
        <v>6</v>
      </c>
      <c r="K164" s="23">
        <f>5+8+8+5+2+6+9</f>
        <v>43</v>
      </c>
      <c r="L164" s="16">
        <f t="shared" si="39"/>
        <v>810.79069767441877</v>
      </c>
      <c r="M164" s="33">
        <f t="shared" si="38"/>
        <v>0.13879734074798189</v>
      </c>
    </row>
    <row r="165" spans="2:13">
      <c r="B165" t="s">
        <v>60</v>
      </c>
      <c r="C165" t="s">
        <v>15</v>
      </c>
      <c r="D165" t="s">
        <v>54</v>
      </c>
      <c r="E165" t="s">
        <v>57</v>
      </c>
      <c r="F165" s="3" t="s">
        <v>12</v>
      </c>
      <c r="G165" s="23">
        <v>1</v>
      </c>
      <c r="H165" s="16">
        <v>1</v>
      </c>
      <c r="I165" s="23">
        <v>2</v>
      </c>
      <c r="J165" s="23">
        <v>1</v>
      </c>
      <c r="K165" s="23">
        <v>1</v>
      </c>
      <c r="L165" s="16">
        <f t="shared" si="39"/>
        <v>1</v>
      </c>
      <c r="M165" s="33">
        <f t="shared" si="38"/>
        <v>1.7118763343744895E-4</v>
      </c>
    </row>
    <row r="166" spans="2:13">
      <c r="B166" t="s">
        <v>60</v>
      </c>
      <c r="C166" t="s">
        <v>15</v>
      </c>
      <c r="D166" t="s">
        <v>54</v>
      </c>
      <c r="E166" t="s">
        <v>57</v>
      </c>
      <c r="F166" s="3" t="s">
        <v>13</v>
      </c>
      <c r="G166" s="23">
        <f>56+(26)+76+107+7+22+4+4+12+7+10+6+(2+5+6)+128+27+73+73+96</f>
        <v>747</v>
      </c>
      <c r="H166" s="16">
        <f>SUM(8*2.5+9*2.9+12*2.5+8*1.5+10*3.6+3+(3)*2.12+9*2.78+7*2.43,9*1.3)/K166</f>
        <v>2.3998717948717947</v>
      </c>
      <c r="I166" s="23">
        <v>10</v>
      </c>
      <c r="J166" s="23">
        <v>8</v>
      </c>
      <c r="K166" s="23">
        <f>8+9+12+8+10+3+(3)+9+7+9</f>
        <v>78</v>
      </c>
      <c r="L166" s="16">
        <f t="shared" si="39"/>
        <v>1792.7042307692307</v>
      </c>
      <c r="M166" s="33">
        <f t="shared" si="38"/>
        <v>0.30688879471868696</v>
      </c>
    </row>
    <row r="167" spans="2:13">
      <c r="B167" t="s">
        <v>60</v>
      </c>
      <c r="C167" t="s">
        <v>15</v>
      </c>
      <c r="D167" t="s">
        <v>54</v>
      </c>
      <c r="E167" t="s">
        <v>57</v>
      </c>
      <c r="F167" s="3" t="s">
        <v>14</v>
      </c>
      <c r="G167" s="23">
        <f>72+7+5</f>
        <v>84</v>
      </c>
      <c r="H167" s="16">
        <v>2.29</v>
      </c>
      <c r="I167" s="23">
        <v>1</v>
      </c>
      <c r="J167" s="23">
        <v>2</v>
      </c>
      <c r="K167" s="23">
        <v>6</v>
      </c>
      <c r="L167" s="16">
        <f t="shared" si="39"/>
        <v>192.36</v>
      </c>
      <c r="M167" s="33">
        <f t="shared" si="38"/>
        <v>3.2929653168027685E-2</v>
      </c>
    </row>
    <row r="168" spans="2:13">
      <c r="B168" t="s">
        <v>60</v>
      </c>
      <c r="C168" t="s">
        <v>15</v>
      </c>
      <c r="D168" t="s">
        <v>54</v>
      </c>
      <c r="E168" t="s">
        <v>55</v>
      </c>
      <c r="F168" s="3" t="s">
        <v>9</v>
      </c>
      <c r="G168" s="23">
        <v>283</v>
      </c>
      <c r="H168" s="16">
        <v>2.11</v>
      </c>
      <c r="I168" s="23"/>
      <c r="J168" s="23"/>
      <c r="K168" s="23"/>
      <c r="L168" s="16">
        <f>G168*H168</f>
        <v>597.13</v>
      </c>
      <c r="M168" s="33">
        <f t="shared" si="38"/>
        <v>0.10222127155450389</v>
      </c>
    </row>
    <row r="169" spans="2:13">
      <c r="B169" t="s">
        <v>60</v>
      </c>
      <c r="C169" t="s">
        <v>21</v>
      </c>
      <c r="D169" t="s">
        <v>54</v>
      </c>
      <c r="E169" t="s">
        <v>55</v>
      </c>
      <c r="F169" s="23" t="s">
        <v>6</v>
      </c>
      <c r="G169" s="23">
        <f>26+29</f>
        <v>55</v>
      </c>
      <c r="H169" s="23">
        <f>(2*1+4*1)/K169</f>
        <v>2</v>
      </c>
      <c r="I169" s="23">
        <v>2</v>
      </c>
      <c r="J169" s="23">
        <v>0</v>
      </c>
      <c r="K169" s="23">
        <v>3</v>
      </c>
      <c r="L169" s="16">
        <f t="shared" ref="L169:L178" si="40">G169*H169</f>
        <v>110</v>
      </c>
      <c r="M169" s="33">
        <f t="shared" ref="M169:M179" si="41">L169/$O$22</f>
        <v>1.974006556304464E-2</v>
      </c>
    </row>
    <row r="170" spans="2:13">
      <c r="B170" t="s">
        <v>60</v>
      </c>
      <c r="C170" t="s">
        <v>21</v>
      </c>
      <c r="D170" t="s">
        <v>54</v>
      </c>
      <c r="E170" t="s">
        <v>55</v>
      </c>
      <c r="F170" s="23" t="s">
        <v>23</v>
      </c>
      <c r="G170" s="23">
        <f>21+5</f>
        <v>26</v>
      </c>
      <c r="H170" s="24">
        <f>(3+2)/2</f>
        <v>2.5</v>
      </c>
      <c r="I170" s="24">
        <v>1</v>
      </c>
      <c r="J170" s="24">
        <v>0</v>
      </c>
      <c r="K170" s="24">
        <v>1</v>
      </c>
      <c r="L170" s="16">
        <f t="shared" si="40"/>
        <v>65</v>
      </c>
      <c r="M170" s="33">
        <f t="shared" si="41"/>
        <v>1.1664584196344561E-2</v>
      </c>
    </row>
    <row r="171" spans="2:13">
      <c r="B171" t="s">
        <v>60</v>
      </c>
      <c r="C171" t="s">
        <v>21</v>
      </c>
      <c r="D171" t="s">
        <v>54</v>
      </c>
      <c r="E171" t="s">
        <v>55</v>
      </c>
      <c r="F171" s="23" t="s">
        <v>56</v>
      </c>
      <c r="G171" s="23">
        <v>662</v>
      </c>
      <c r="H171" s="16">
        <f>SUM(26*2.5+5*1.2+19*2.3)/K171</f>
        <v>2.2939999999999996</v>
      </c>
      <c r="I171" s="23">
        <v>4</v>
      </c>
      <c r="J171" s="23">
        <v>2</v>
      </c>
      <c r="K171" s="23">
        <f>26+19+5</f>
        <v>50</v>
      </c>
      <c r="L171" s="16">
        <f t="shared" si="40"/>
        <v>1518.6279999999997</v>
      </c>
      <c r="M171" s="33">
        <f t="shared" si="41"/>
        <v>0.27252560259886682</v>
      </c>
    </row>
    <row r="172" spans="2:13">
      <c r="B172" t="s">
        <v>60</v>
      </c>
      <c r="C172" t="s">
        <v>21</v>
      </c>
      <c r="D172" t="s">
        <v>54</v>
      </c>
      <c r="E172" t="s">
        <v>55</v>
      </c>
      <c r="F172" s="23" t="s">
        <v>8</v>
      </c>
      <c r="G172" s="23">
        <v>9</v>
      </c>
      <c r="H172" s="16">
        <v>3</v>
      </c>
      <c r="I172" s="23">
        <v>1</v>
      </c>
      <c r="J172" s="23">
        <v>1</v>
      </c>
      <c r="K172" s="23">
        <v>3</v>
      </c>
      <c r="L172" s="16">
        <f t="shared" si="40"/>
        <v>27</v>
      </c>
      <c r="M172" s="33">
        <f t="shared" si="41"/>
        <v>4.8452888200200481E-3</v>
      </c>
    </row>
    <row r="173" spans="2:13">
      <c r="B173" t="s">
        <v>60</v>
      </c>
      <c r="C173" t="s">
        <v>21</v>
      </c>
      <c r="D173" t="s">
        <v>54</v>
      </c>
      <c r="E173" t="s">
        <v>57</v>
      </c>
      <c r="F173" s="23" t="s">
        <v>10</v>
      </c>
      <c r="G173" s="23">
        <f>49+13</f>
        <v>62</v>
      </c>
      <c r="H173" s="16">
        <v>1.3</v>
      </c>
      <c r="I173" s="23">
        <v>1</v>
      </c>
      <c r="J173" s="23">
        <v>1</v>
      </c>
      <c r="K173" s="23">
        <v>10</v>
      </c>
      <c r="L173" s="16">
        <f t="shared" si="40"/>
        <v>80.600000000000009</v>
      </c>
      <c r="M173" s="33">
        <f t="shared" si="41"/>
        <v>1.4464084403467256E-2</v>
      </c>
    </row>
    <row r="174" spans="2:13">
      <c r="B174" t="s">
        <v>60</v>
      </c>
      <c r="C174" t="s">
        <v>21</v>
      </c>
      <c r="D174" t="s">
        <v>54</v>
      </c>
      <c r="E174" t="s">
        <v>57</v>
      </c>
      <c r="F174" s="23" t="s">
        <v>11</v>
      </c>
      <c r="G174" s="23">
        <f>81+89+118+5+16+4+5+4+5+18+13+(7+9)</f>
        <v>374</v>
      </c>
      <c r="H174" s="16">
        <f>SUM(11*1.9,9*1.9,10*2,2*2.5)/K174</f>
        <v>1.96875</v>
      </c>
      <c r="I174" s="23">
        <v>4</v>
      </c>
      <c r="J174" s="23">
        <v>8</v>
      </c>
      <c r="K174" s="23">
        <f>11+9+10+2</f>
        <v>32</v>
      </c>
      <c r="L174" s="16">
        <f t="shared" si="40"/>
        <v>736.3125</v>
      </c>
      <c r="M174" s="33">
        <f t="shared" si="41"/>
        <v>0.13213506386263008</v>
      </c>
    </row>
    <row r="175" spans="2:13">
      <c r="B175" t="s">
        <v>60</v>
      </c>
      <c r="C175" t="s">
        <v>21</v>
      </c>
      <c r="D175" t="s">
        <v>54</v>
      </c>
      <c r="E175" t="s">
        <v>57</v>
      </c>
      <c r="F175" s="23" t="s">
        <v>26</v>
      </c>
      <c r="G175" s="23">
        <f>(3+9+3+3+3)+22+62+6+8+4+6+11+59+64+10+29+98</f>
        <v>400</v>
      </c>
      <c r="H175" s="16">
        <f>SUM(2.3*5,2.12*8,8*2,2.8*5,2,6,9*2.3)/K175</f>
        <v>2.0269767441860469</v>
      </c>
      <c r="I175" s="23">
        <v>7</v>
      </c>
      <c r="J175" s="23">
        <v>6</v>
      </c>
      <c r="K175" s="23">
        <f>5+8+8+5+2+6+9</f>
        <v>43</v>
      </c>
      <c r="L175" s="16">
        <f t="shared" si="40"/>
        <v>810.79069767441877</v>
      </c>
      <c r="M175" s="33">
        <f t="shared" si="41"/>
        <v>0.14550055936363393</v>
      </c>
    </row>
    <row r="176" spans="2:13">
      <c r="B176" t="s">
        <v>60</v>
      </c>
      <c r="C176" t="s">
        <v>21</v>
      </c>
      <c r="D176" t="s">
        <v>54</v>
      </c>
      <c r="E176" t="s">
        <v>57</v>
      </c>
      <c r="F176" s="23" t="s">
        <v>12</v>
      </c>
      <c r="G176" s="23">
        <v>8</v>
      </c>
      <c r="H176" s="24">
        <v>2</v>
      </c>
      <c r="I176" s="24">
        <v>2</v>
      </c>
      <c r="J176" s="24">
        <v>1</v>
      </c>
      <c r="K176" s="24">
        <v>1</v>
      </c>
      <c r="L176" s="16">
        <f t="shared" si="40"/>
        <v>16</v>
      </c>
      <c r="M176" s="33">
        <f t="shared" si="41"/>
        <v>2.8712822637155843E-3</v>
      </c>
    </row>
    <row r="177" spans="2:13">
      <c r="B177" t="s">
        <v>60</v>
      </c>
      <c r="C177" t="s">
        <v>21</v>
      </c>
      <c r="D177" t="s">
        <v>54</v>
      </c>
      <c r="E177" t="s">
        <v>57</v>
      </c>
      <c r="F177" s="23" t="s">
        <v>13</v>
      </c>
      <c r="G177" s="23">
        <f>56+(26)+230+107+7+22+4+4+12+7+10+6+128+27+73+(11+5+12)+96</f>
        <v>843</v>
      </c>
      <c r="H177" s="16">
        <f>SUM(8*2.25,28*1.9,12*2.25,10*3.6,3,8*2.13,9*1.78,8*2,9*1.3)/K177</f>
        <v>1.9407843137254901</v>
      </c>
      <c r="I177" s="24">
        <v>9</v>
      </c>
      <c r="J177" s="24">
        <v>8</v>
      </c>
      <c r="K177" s="23">
        <f>8+28+12+10+3+8+9+8+7+9</f>
        <v>102</v>
      </c>
      <c r="L177" s="16">
        <f t="shared" si="40"/>
        <v>1636.0811764705882</v>
      </c>
      <c r="M177" s="33">
        <f t="shared" si="41"/>
        <v>0.29360317899993293</v>
      </c>
    </row>
    <row r="178" spans="2:13">
      <c r="B178" t="s">
        <v>60</v>
      </c>
      <c r="C178" t="s">
        <v>21</v>
      </c>
      <c r="D178" t="s">
        <v>54</v>
      </c>
      <c r="E178" t="s">
        <v>57</v>
      </c>
      <c r="F178" s="23" t="s">
        <v>14</v>
      </c>
      <c r="G178" s="23">
        <v>0</v>
      </c>
      <c r="H178" s="24">
        <v>0</v>
      </c>
      <c r="I178" s="24">
        <v>0</v>
      </c>
      <c r="J178" s="24">
        <v>0</v>
      </c>
      <c r="K178" s="23">
        <v>0</v>
      </c>
      <c r="L178" s="16">
        <f t="shared" si="40"/>
        <v>0</v>
      </c>
      <c r="M178" s="33">
        <f t="shared" si="41"/>
        <v>0</v>
      </c>
    </row>
    <row r="179" spans="2:13">
      <c r="B179" t="s">
        <v>60</v>
      </c>
      <c r="C179" t="s">
        <v>21</v>
      </c>
      <c r="D179" t="s">
        <v>54</v>
      </c>
      <c r="E179" t="s">
        <v>55</v>
      </c>
      <c r="F179" s="23" t="s">
        <v>9</v>
      </c>
      <c r="G179" s="23">
        <v>269</v>
      </c>
      <c r="H179" s="16">
        <v>2.13</v>
      </c>
      <c r="I179" s="23"/>
      <c r="J179" s="23"/>
      <c r="K179" s="23"/>
      <c r="L179" s="16">
        <f>G179*H179</f>
        <v>572.97</v>
      </c>
      <c r="M179" s="33">
        <f t="shared" si="41"/>
        <v>0.1028224124150699</v>
      </c>
    </row>
    <row r="180" spans="2:13">
      <c r="B180" t="s">
        <v>60</v>
      </c>
      <c r="C180" t="s">
        <v>24</v>
      </c>
      <c r="D180" t="s">
        <v>54</v>
      </c>
      <c r="E180" t="s">
        <v>55</v>
      </c>
      <c r="F180" s="23" t="s">
        <v>6</v>
      </c>
      <c r="G180" s="23">
        <f>21+25+32</f>
        <v>78</v>
      </c>
      <c r="H180" s="23">
        <f>(1+7+7)/3</f>
        <v>5</v>
      </c>
      <c r="I180" s="23">
        <v>3</v>
      </c>
      <c r="J180" s="23">
        <v>0</v>
      </c>
      <c r="K180" s="23">
        <v>3</v>
      </c>
      <c r="L180" s="16">
        <f t="shared" ref="L180:L189" si="42">G180*H180</f>
        <v>390</v>
      </c>
      <c r="M180" s="33">
        <f>L180/$V$22</f>
        <v>5.8632937137909388E-2</v>
      </c>
    </row>
    <row r="181" spans="2:13">
      <c r="B181" t="s">
        <v>60</v>
      </c>
      <c r="C181" t="s">
        <v>24</v>
      </c>
      <c r="D181" t="s">
        <v>54</v>
      </c>
      <c r="E181" t="s">
        <v>55</v>
      </c>
      <c r="F181" s="23" t="s">
        <v>23</v>
      </c>
      <c r="G181" s="23">
        <f>(92+6+5+5)</f>
        <v>108</v>
      </c>
      <c r="H181" s="24">
        <f>(6+7+2+2+1)/5</f>
        <v>3.6</v>
      </c>
      <c r="I181" s="24">
        <v>2</v>
      </c>
      <c r="J181" s="24">
        <v>0</v>
      </c>
      <c r="K181" s="24">
        <v>5</v>
      </c>
      <c r="L181" s="16">
        <f t="shared" si="42"/>
        <v>388.8</v>
      </c>
      <c r="M181" s="33">
        <f t="shared" ref="M181:M190" si="43">L181/$V$22</f>
        <v>5.8452528100561979E-2</v>
      </c>
    </row>
    <row r="182" spans="2:13">
      <c r="B182" t="s">
        <v>60</v>
      </c>
      <c r="C182" t="s">
        <v>24</v>
      </c>
      <c r="D182" t="s">
        <v>54</v>
      </c>
      <c r="E182" t="s">
        <v>55</v>
      </c>
      <c r="F182" s="23" t="s">
        <v>56</v>
      </c>
      <c r="G182" s="23">
        <v>662</v>
      </c>
      <c r="H182" s="16">
        <f>SUM(26*2.5+5*1.2+19*2.3)/K182</f>
        <v>2.2939999999999996</v>
      </c>
      <c r="I182" s="23">
        <v>4</v>
      </c>
      <c r="J182" s="23">
        <v>2</v>
      </c>
      <c r="K182" s="23">
        <f>26+19+5</f>
        <v>50</v>
      </c>
      <c r="L182" s="16">
        <f t="shared" si="42"/>
        <v>1518.6279999999997</v>
      </c>
      <c r="M182" s="33">
        <f t="shared" si="43"/>
        <v>0.22831184630735651</v>
      </c>
    </row>
    <row r="183" spans="2:13">
      <c r="B183" t="s">
        <v>60</v>
      </c>
      <c r="C183" t="s">
        <v>24</v>
      </c>
      <c r="D183" t="s">
        <v>54</v>
      </c>
      <c r="E183" t="s">
        <v>57</v>
      </c>
      <c r="F183" s="23" t="s">
        <v>8</v>
      </c>
      <c r="G183" s="23">
        <v>9</v>
      </c>
      <c r="H183" s="16">
        <v>3</v>
      </c>
      <c r="I183" s="23">
        <v>1</v>
      </c>
      <c r="J183" s="23">
        <v>1</v>
      </c>
      <c r="K183" s="23">
        <v>3</v>
      </c>
      <c r="L183" s="16">
        <f t="shared" si="42"/>
        <v>27</v>
      </c>
      <c r="M183" s="33">
        <f t="shared" si="43"/>
        <v>4.0592033403168042E-3</v>
      </c>
    </row>
    <row r="184" spans="2:13">
      <c r="B184" t="s">
        <v>60</v>
      </c>
      <c r="C184" t="s">
        <v>24</v>
      </c>
      <c r="D184" t="s">
        <v>54</v>
      </c>
      <c r="E184" t="s">
        <v>57</v>
      </c>
      <c r="F184" s="23" t="s">
        <v>10</v>
      </c>
      <c r="G184" s="23">
        <f>49+13</f>
        <v>62</v>
      </c>
      <c r="H184" s="16">
        <v>1.3</v>
      </c>
      <c r="I184" s="23">
        <v>1</v>
      </c>
      <c r="J184" s="23">
        <v>1</v>
      </c>
      <c r="K184" s="23">
        <v>10</v>
      </c>
      <c r="L184" s="16">
        <f t="shared" si="42"/>
        <v>80.600000000000009</v>
      </c>
      <c r="M184" s="33">
        <f t="shared" si="43"/>
        <v>1.2117473675167943E-2</v>
      </c>
    </row>
    <row r="185" spans="2:13">
      <c r="B185" t="s">
        <v>60</v>
      </c>
      <c r="C185" t="s">
        <v>24</v>
      </c>
      <c r="D185" t="s">
        <v>54</v>
      </c>
      <c r="E185" t="s">
        <v>57</v>
      </c>
      <c r="F185" s="23" t="s">
        <v>11</v>
      </c>
      <c r="G185" s="23">
        <f>81+89+118+5+16+4+5+4+5+18+13+(8+1)</f>
        <v>367</v>
      </c>
      <c r="H185" s="16">
        <f>SUM(11*1.9,9*1.9,1,2)/22</f>
        <v>1.8636363636363635</v>
      </c>
      <c r="I185" s="23">
        <v>5</v>
      </c>
      <c r="J185" s="23">
        <v>8</v>
      </c>
      <c r="K185" s="23">
        <v>22</v>
      </c>
      <c r="L185" s="16">
        <f t="shared" si="42"/>
        <v>683.95454545454538</v>
      </c>
      <c r="M185" s="33">
        <f t="shared" si="43"/>
        <v>0.10282631761236859</v>
      </c>
    </row>
    <row r="186" spans="2:13">
      <c r="B186" t="s">
        <v>60</v>
      </c>
      <c r="C186" t="s">
        <v>24</v>
      </c>
      <c r="D186" t="s">
        <v>54</v>
      </c>
      <c r="E186" t="s">
        <v>57</v>
      </c>
      <c r="F186" s="23" t="s">
        <v>26</v>
      </c>
      <c r="G186" s="23">
        <f>(3+9+3+3+3)+22+62+6+8+4+6+11+59+64+10+29+98</f>
        <v>400</v>
      </c>
      <c r="H186" s="16">
        <f>SUM(2.3*5,2.12*8,8*2,2.8*5,2,6,9*2.3)/K186</f>
        <v>2.0269767441860469</v>
      </c>
      <c r="I186" s="23">
        <v>7</v>
      </c>
      <c r="J186" s="23">
        <v>6</v>
      </c>
      <c r="K186" s="23">
        <f>5+8+8+5+2+6+9</f>
        <v>43</v>
      </c>
      <c r="L186" s="16">
        <f t="shared" si="42"/>
        <v>810.79069767441877</v>
      </c>
      <c r="M186" s="33">
        <f t="shared" si="43"/>
        <v>0.12189497438139972</v>
      </c>
    </row>
    <row r="187" spans="2:13">
      <c r="B187" t="s">
        <v>60</v>
      </c>
      <c r="C187" t="s">
        <v>24</v>
      </c>
      <c r="D187" t="s">
        <v>54</v>
      </c>
      <c r="E187" t="s">
        <v>57</v>
      </c>
      <c r="F187" s="23" t="s">
        <v>12</v>
      </c>
      <c r="G187" s="23">
        <v>9</v>
      </c>
      <c r="H187" s="32">
        <v>3</v>
      </c>
      <c r="I187" s="24">
        <v>2</v>
      </c>
      <c r="J187" s="24">
        <v>1</v>
      </c>
      <c r="K187" s="24">
        <v>3</v>
      </c>
      <c r="L187" s="16">
        <f t="shared" si="42"/>
        <v>27</v>
      </c>
      <c r="M187" s="33">
        <f t="shared" si="43"/>
        <v>4.0592033403168042E-3</v>
      </c>
    </row>
    <row r="188" spans="2:13">
      <c r="B188" t="s">
        <v>60</v>
      </c>
      <c r="C188" t="s">
        <v>24</v>
      </c>
      <c r="D188" t="s">
        <v>54</v>
      </c>
      <c r="E188" t="s">
        <v>57</v>
      </c>
      <c r="F188" s="23" t="s">
        <v>13</v>
      </c>
      <c r="G188" s="23">
        <f>56+(10+10+10+10+8+7+7+7+8)+(80+5+5)+(26)+107+7+22+4+4+12+7+10+6+128+27+73+73+96+55</f>
        <v>880</v>
      </c>
      <c r="H188" s="16">
        <f>SUM(8*2.5,4+4+4+4+2+2+2+2+2,7*2.85,12*2.5,10*2.3,3*1,8*2.12,9*1.78,7*2.42,6*1.28,9*1.3)/K188</f>
        <v>2.1732954545454546</v>
      </c>
      <c r="I188" s="24">
        <v>10</v>
      </c>
      <c r="J188" s="24">
        <v>8</v>
      </c>
      <c r="K188" s="24">
        <f>79+9</f>
        <v>88</v>
      </c>
      <c r="L188" s="16">
        <f t="shared" si="42"/>
        <v>1912.5</v>
      </c>
      <c r="M188" s="33">
        <f t="shared" si="43"/>
        <v>0.28752690327244029</v>
      </c>
    </row>
    <row r="189" spans="2:13">
      <c r="B189" t="s">
        <v>60</v>
      </c>
      <c r="C189" t="s">
        <v>24</v>
      </c>
      <c r="D189" t="s">
        <v>54</v>
      </c>
      <c r="E189" t="s">
        <v>57</v>
      </c>
      <c r="F189" s="23" t="s">
        <v>14</v>
      </c>
      <c r="G189" s="23">
        <v>0</v>
      </c>
      <c r="H189" s="24">
        <v>0</v>
      </c>
      <c r="I189" s="24">
        <v>0</v>
      </c>
      <c r="J189" s="24">
        <v>0</v>
      </c>
      <c r="K189" s="23">
        <v>0</v>
      </c>
      <c r="L189" s="16">
        <f t="shared" si="42"/>
        <v>0</v>
      </c>
      <c r="M189" s="33">
        <f t="shared" si="43"/>
        <v>0</v>
      </c>
    </row>
    <row r="190" spans="2:13">
      <c r="B190" t="s">
        <v>60</v>
      </c>
      <c r="C190" t="s">
        <v>24</v>
      </c>
      <c r="D190" t="s">
        <v>54</v>
      </c>
      <c r="E190" t="s">
        <v>55</v>
      </c>
      <c r="F190" s="23" t="s">
        <v>9</v>
      </c>
      <c r="G190" s="23">
        <v>374</v>
      </c>
      <c r="H190" s="16">
        <v>2.17</v>
      </c>
      <c r="I190" s="23"/>
      <c r="J190" s="23"/>
      <c r="K190" s="23"/>
      <c r="L190" s="16">
        <f>G190*H190</f>
        <v>811.57999999999993</v>
      </c>
      <c r="M190" s="33">
        <f t="shared" si="43"/>
        <v>0.12201363877534487</v>
      </c>
    </row>
    <row r="191" spans="2:13">
      <c r="B191" t="s">
        <v>60</v>
      </c>
      <c r="C191" t="s">
        <v>25</v>
      </c>
      <c r="D191" t="s">
        <v>54</v>
      </c>
      <c r="E191" t="s">
        <v>55</v>
      </c>
      <c r="F191" s="23" t="s">
        <v>6</v>
      </c>
      <c r="G191" s="23">
        <f>21+27</f>
        <v>48</v>
      </c>
      <c r="H191" s="16">
        <f>(1+1+3)/K191</f>
        <v>1.6666666666666667</v>
      </c>
      <c r="I191" s="23">
        <v>2</v>
      </c>
      <c r="J191" s="23">
        <v>0</v>
      </c>
      <c r="K191" s="23">
        <v>3</v>
      </c>
      <c r="L191" s="16">
        <f t="shared" ref="L191:L200" si="44">G191*H191</f>
        <v>80</v>
      </c>
      <c r="M191" s="33">
        <f>L191/$AC$22</f>
        <v>1.1633782279726682E-2</v>
      </c>
    </row>
    <row r="192" spans="2:13">
      <c r="B192" t="s">
        <v>60</v>
      </c>
      <c r="C192" t="s">
        <v>25</v>
      </c>
      <c r="D192" t="s">
        <v>54</v>
      </c>
      <c r="E192" t="s">
        <v>55</v>
      </c>
      <c r="F192" s="23" t="s">
        <v>23</v>
      </c>
      <c r="G192" s="23">
        <f>7+25</f>
        <v>32</v>
      </c>
      <c r="H192" s="24">
        <f>(2+1+1+2)/K192</f>
        <v>1.5</v>
      </c>
      <c r="I192" s="24">
        <v>2</v>
      </c>
      <c r="J192" s="24">
        <v>0</v>
      </c>
      <c r="K192" s="24">
        <v>4</v>
      </c>
      <c r="L192" s="16">
        <f t="shared" si="44"/>
        <v>48</v>
      </c>
      <c r="M192" s="33">
        <f t="shared" ref="M192:M201" si="45">L192/$AC$22</f>
        <v>6.9802693678360089E-3</v>
      </c>
    </row>
    <row r="193" spans="2:13">
      <c r="B193" t="s">
        <v>60</v>
      </c>
      <c r="C193" t="s">
        <v>25</v>
      </c>
      <c r="D193" t="s">
        <v>54</v>
      </c>
      <c r="E193" t="s">
        <v>55</v>
      </c>
      <c r="F193" s="23" t="s">
        <v>56</v>
      </c>
      <c r="G193" s="23">
        <v>662</v>
      </c>
      <c r="H193" s="16">
        <f>SUM(26*2.5+5*1.2+19*2.3)/K193</f>
        <v>2.2939999999999996</v>
      </c>
      <c r="I193" s="23">
        <v>4</v>
      </c>
      <c r="J193" s="23">
        <v>2</v>
      </c>
      <c r="K193" s="23">
        <f>26+19+5</f>
        <v>50</v>
      </c>
      <c r="L193" s="16">
        <f t="shared" si="44"/>
        <v>1518.6279999999997</v>
      </c>
      <c r="M193" s="33">
        <f t="shared" si="45"/>
        <v>0.22084234394870961</v>
      </c>
    </row>
    <row r="194" spans="2:13">
      <c r="B194" t="s">
        <v>60</v>
      </c>
      <c r="C194" t="s">
        <v>25</v>
      </c>
      <c r="D194" t="s">
        <v>54</v>
      </c>
      <c r="E194" t="s">
        <v>55</v>
      </c>
      <c r="F194" s="23" t="s">
        <v>8</v>
      </c>
      <c r="G194" s="23">
        <v>9</v>
      </c>
      <c r="H194" s="16">
        <v>3</v>
      </c>
      <c r="I194" s="23">
        <v>1</v>
      </c>
      <c r="J194" s="23">
        <v>1</v>
      </c>
      <c r="K194" s="23">
        <v>3</v>
      </c>
      <c r="L194" s="16">
        <f t="shared" si="44"/>
        <v>27</v>
      </c>
      <c r="M194" s="33">
        <f t="shared" si="45"/>
        <v>3.926401519407755E-3</v>
      </c>
    </row>
    <row r="195" spans="2:13">
      <c r="B195" t="s">
        <v>60</v>
      </c>
      <c r="C195" t="s">
        <v>25</v>
      </c>
      <c r="D195" t="s">
        <v>54</v>
      </c>
      <c r="E195" t="s">
        <v>57</v>
      </c>
      <c r="F195" s="23" t="s">
        <v>10</v>
      </c>
      <c r="G195" s="23">
        <f>49+13+14</f>
        <v>76</v>
      </c>
      <c r="H195" s="16">
        <f>(10*1.3+2*1)/K195</f>
        <v>1.3636363636363635</v>
      </c>
      <c r="I195" s="24">
        <v>2</v>
      </c>
      <c r="J195" s="24">
        <v>1</v>
      </c>
      <c r="K195" s="24">
        <v>11</v>
      </c>
      <c r="L195" s="16">
        <f t="shared" si="44"/>
        <v>103.63636363636363</v>
      </c>
      <c r="M195" s="33">
        <f t="shared" si="45"/>
        <v>1.5071036135100472E-2</v>
      </c>
    </row>
    <row r="196" spans="2:13">
      <c r="B196" t="s">
        <v>60</v>
      </c>
      <c r="C196" t="s">
        <v>25</v>
      </c>
      <c r="D196" t="s">
        <v>54</v>
      </c>
      <c r="E196" t="s">
        <v>57</v>
      </c>
      <c r="F196" s="23" t="s">
        <v>11</v>
      </c>
      <c r="G196" s="23">
        <f>81+89+5+16+4+5+5+4+18+5+13+(7+15)+28+118</f>
        <v>413</v>
      </c>
      <c r="H196" s="16">
        <f>SUM(11*1.9,9*1.9,2+5,3*1,10*2)/K196</f>
        <v>1.9428571428571428</v>
      </c>
      <c r="I196" s="24">
        <v>5</v>
      </c>
      <c r="J196" s="24">
        <v>9</v>
      </c>
      <c r="K196" s="24">
        <v>35</v>
      </c>
      <c r="L196" s="16">
        <f t="shared" si="44"/>
        <v>802.4</v>
      </c>
      <c r="M196" s="33">
        <f t="shared" si="45"/>
        <v>0.11668683626565861</v>
      </c>
    </row>
    <row r="197" spans="2:13">
      <c r="B197" t="s">
        <v>60</v>
      </c>
      <c r="C197" t="s">
        <v>25</v>
      </c>
      <c r="D197" t="s">
        <v>54</v>
      </c>
      <c r="E197" t="s">
        <v>57</v>
      </c>
      <c r="F197" s="23" t="s">
        <v>26</v>
      </c>
      <c r="G197" s="23">
        <f>3+22+22+14+10+10+178+26</f>
        <v>285</v>
      </c>
      <c r="H197" s="16">
        <f>SUM(1,7,6,4,5,12*3.6,5*1)/K197</f>
        <v>3.2363636363636363</v>
      </c>
      <c r="I197" s="23">
        <v>4</v>
      </c>
      <c r="J197" s="23">
        <v>1</v>
      </c>
      <c r="K197" s="23">
        <v>22</v>
      </c>
      <c r="L197" s="16">
        <f t="shared" si="44"/>
        <v>922.36363636363637</v>
      </c>
      <c r="M197" s="33">
        <f t="shared" si="45"/>
        <v>0.13413222160239421</v>
      </c>
    </row>
    <row r="198" spans="2:13">
      <c r="B198" t="s">
        <v>60</v>
      </c>
      <c r="C198" t="s">
        <v>25</v>
      </c>
      <c r="D198" t="s">
        <v>54</v>
      </c>
      <c r="E198" t="s">
        <v>57</v>
      </c>
      <c r="F198" s="23" t="s">
        <v>12</v>
      </c>
      <c r="G198" s="23">
        <v>8</v>
      </c>
      <c r="H198" s="32">
        <v>3</v>
      </c>
      <c r="I198" s="24">
        <v>2</v>
      </c>
      <c r="J198" s="24">
        <v>1</v>
      </c>
      <c r="K198" s="24">
        <v>1</v>
      </c>
      <c r="L198" s="16">
        <f t="shared" si="44"/>
        <v>24</v>
      </c>
      <c r="M198" s="33">
        <f t="shared" si="45"/>
        <v>3.4901346839180045E-3</v>
      </c>
    </row>
    <row r="199" spans="2:13">
      <c r="B199" t="s">
        <v>60</v>
      </c>
      <c r="C199" t="s">
        <v>25</v>
      </c>
      <c r="D199" t="s">
        <v>54</v>
      </c>
      <c r="E199" t="s">
        <v>57</v>
      </c>
      <c r="F199" s="23" t="s">
        <v>13</v>
      </c>
      <c r="G199" s="23">
        <f>56+(10+10+10+10+8+7+7+7+8)+(26)+107+7+22+4+4+12+7+10+6+118+128+27+73+73+96</f>
        <v>853</v>
      </c>
      <c r="H199" s="16">
        <f>SUM(8*2.25,4+4+4+4+2+2+2+2+2+2,12*2.25,10*2.3,10*3.6,3*1,8*2.12,9*2.78,7*2.4,9*1.3)/K199</f>
        <v>2.3893023255813954</v>
      </c>
      <c r="I199" s="24">
        <v>9</v>
      </c>
      <c r="J199" s="24">
        <v>8</v>
      </c>
      <c r="K199" s="24">
        <f>77+9</f>
        <v>86</v>
      </c>
      <c r="L199" s="16">
        <f t="shared" si="44"/>
        <v>2038.0748837209303</v>
      </c>
      <c r="M199" s="33">
        <f t="shared" si="45"/>
        <v>0.29638149333735719</v>
      </c>
    </row>
    <row r="200" spans="2:13">
      <c r="B200" t="s">
        <v>60</v>
      </c>
      <c r="C200" t="s">
        <v>25</v>
      </c>
      <c r="D200" t="s">
        <v>54</v>
      </c>
      <c r="E200" t="s">
        <v>57</v>
      </c>
      <c r="F200" s="23" t="s">
        <v>14</v>
      </c>
      <c r="G200" s="23">
        <v>0</v>
      </c>
      <c r="H200" s="24">
        <v>0</v>
      </c>
      <c r="I200" s="24">
        <v>0</v>
      </c>
      <c r="J200" s="24">
        <v>0</v>
      </c>
      <c r="K200" s="23">
        <v>0</v>
      </c>
      <c r="L200" s="16">
        <f t="shared" si="44"/>
        <v>0</v>
      </c>
      <c r="M200" s="33">
        <f t="shared" si="45"/>
        <v>0</v>
      </c>
    </row>
    <row r="201" spans="2:13">
      <c r="B201" t="s">
        <v>60</v>
      </c>
      <c r="C201" t="s">
        <v>25</v>
      </c>
      <c r="D201" t="s">
        <v>54</v>
      </c>
      <c r="E201" t="s">
        <v>57</v>
      </c>
      <c r="F201" s="23" t="s">
        <v>9</v>
      </c>
      <c r="G201" s="23">
        <v>612</v>
      </c>
      <c r="H201" s="16">
        <v>2.14</v>
      </c>
      <c r="I201" s="23"/>
      <c r="J201" s="23"/>
      <c r="K201" s="23"/>
      <c r="L201" s="16">
        <f>G201*H201</f>
        <v>1309.68</v>
      </c>
      <c r="M201" s="33">
        <f t="shared" si="45"/>
        <v>0.19045664970140552</v>
      </c>
    </row>
    <row r="202" spans="2:13">
      <c r="B202" t="s">
        <v>60</v>
      </c>
      <c r="C202" t="s">
        <v>58</v>
      </c>
      <c r="D202" t="s">
        <v>59</v>
      </c>
      <c r="E202" t="s">
        <v>55</v>
      </c>
      <c r="F202" s="23" t="s">
        <v>6</v>
      </c>
      <c r="G202" s="23">
        <f>81+85</f>
        <v>166</v>
      </c>
      <c r="H202" s="16">
        <f>(6*2.17+5*3.6)/K202</f>
        <v>2.82</v>
      </c>
      <c r="I202" s="23">
        <v>2</v>
      </c>
      <c r="J202" s="23">
        <v>0</v>
      </c>
      <c r="K202" s="23">
        <f>5+6</f>
        <v>11</v>
      </c>
      <c r="L202" s="16">
        <f>G202*H202</f>
        <v>468.11999999999995</v>
      </c>
      <c r="M202" s="33">
        <f>L202/$AJ$22</f>
        <v>0.16409982897916878</v>
      </c>
    </row>
    <row r="203" spans="2:13">
      <c r="B203" t="s">
        <v>60</v>
      </c>
      <c r="C203" t="s">
        <v>58</v>
      </c>
      <c r="D203" t="s">
        <v>59</v>
      </c>
      <c r="E203" t="s">
        <v>55</v>
      </c>
      <c r="F203" s="23" t="s">
        <v>23</v>
      </c>
      <c r="G203" s="23">
        <f>16+9</f>
        <v>25</v>
      </c>
      <c r="H203" s="24">
        <f>(2+3)/2</f>
        <v>2.5</v>
      </c>
      <c r="I203" s="24">
        <v>2</v>
      </c>
      <c r="J203" s="24">
        <v>0</v>
      </c>
      <c r="K203" s="24">
        <v>2</v>
      </c>
      <c r="L203" s="16">
        <f>G203*H203</f>
        <v>62.5</v>
      </c>
      <c r="M203" s="33">
        <f t="shared" ref="M203:M212" si="46">L203/$AJ$22</f>
        <v>2.1909423462355911E-2</v>
      </c>
    </row>
    <row r="204" spans="2:13">
      <c r="B204" t="s">
        <v>60</v>
      </c>
      <c r="C204" t="s">
        <v>58</v>
      </c>
      <c r="D204" t="s">
        <v>59</v>
      </c>
      <c r="E204" t="s">
        <v>55</v>
      </c>
      <c r="F204" s="23" t="s">
        <v>56</v>
      </c>
      <c r="G204" s="23">
        <v>0</v>
      </c>
      <c r="H204" s="16">
        <v>0</v>
      </c>
      <c r="I204" s="23">
        <v>0</v>
      </c>
      <c r="J204" s="23">
        <v>0</v>
      </c>
      <c r="K204" s="23">
        <v>0</v>
      </c>
      <c r="L204" s="16">
        <f>G204*H204</f>
        <v>0</v>
      </c>
      <c r="M204" s="33">
        <f t="shared" si="46"/>
        <v>0</v>
      </c>
    </row>
    <row r="205" spans="2:13">
      <c r="B205" t="s">
        <v>60</v>
      </c>
      <c r="C205" t="s">
        <v>58</v>
      </c>
      <c r="D205" t="s">
        <v>59</v>
      </c>
      <c r="E205" t="s">
        <v>55</v>
      </c>
      <c r="F205" s="23" t="s">
        <v>8</v>
      </c>
      <c r="G205" s="23">
        <v>9</v>
      </c>
      <c r="H205" s="16">
        <v>3</v>
      </c>
      <c r="I205" s="23">
        <v>1</v>
      </c>
      <c r="J205" s="23">
        <v>1</v>
      </c>
      <c r="K205" s="23">
        <v>3</v>
      </c>
      <c r="L205" s="16">
        <f t="shared" ref="L205:L211" si="47">G205*H205</f>
        <v>27</v>
      </c>
      <c r="M205" s="33">
        <f t="shared" si="46"/>
        <v>9.4648709357377549E-3</v>
      </c>
    </row>
    <row r="206" spans="2:13">
      <c r="B206" t="s">
        <v>60</v>
      </c>
      <c r="C206" t="s">
        <v>58</v>
      </c>
      <c r="D206" t="s">
        <v>59</v>
      </c>
      <c r="E206" t="s">
        <v>57</v>
      </c>
      <c r="F206" s="23" t="s">
        <v>10</v>
      </c>
      <c r="G206" s="23">
        <f>49+13</f>
        <v>62</v>
      </c>
      <c r="H206" s="16">
        <v>1.3</v>
      </c>
      <c r="I206" s="23">
        <v>1</v>
      </c>
      <c r="J206" s="23">
        <v>1</v>
      </c>
      <c r="K206" s="23">
        <v>10</v>
      </c>
      <c r="L206" s="16">
        <f t="shared" si="47"/>
        <v>80.600000000000009</v>
      </c>
      <c r="M206" s="33">
        <f t="shared" si="46"/>
        <v>2.8254392497054189E-2</v>
      </c>
    </row>
    <row r="207" spans="2:13">
      <c r="B207" t="s">
        <v>60</v>
      </c>
      <c r="C207" t="s">
        <v>58</v>
      </c>
      <c r="D207" t="s">
        <v>59</v>
      </c>
      <c r="E207" t="s">
        <v>57</v>
      </c>
      <c r="F207" s="23" t="s">
        <v>11</v>
      </c>
      <c r="G207" s="23">
        <f>81+89+5+16+4+5+4+18+5+13+33</f>
        <v>273</v>
      </c>
      <c r="H207" s="16">
        <f>SUM(11*1.9,9*1.9,10*2,9*1.5)/K207</f>
        <v>1.8333333333333333</v>
      </c>
      <c r="I207" s="24">
        <v>4</v>
      </c>
      <c r="J207" s="24">
        <v>8</v>
      </c>
      <c r="K207" s="24">
        <f>11+9+10+9</f>
        <v>39</v>
      </c>
      <c r="L207" s="16">
        <f t="shared" si="47"/>
        <v>500.5</v>
      </c>
      <c r="M207" s="33">
        <f t="shared" si="46"/>
        <v>0.17545066308654614</v>
      </c>
    </row>
    <row r="208" spans="2:13">
      <c r="B208" t="s">
        <v>60</v>
      </c>
      <c r="C208" t="s">
        <v>58</v>
      </c>
      <c r="D208" t="s">
        <v>59</v>
      </c>
      <c r="E208" t="s">
        <v>57</v>
      </c>
      <c r="F208" s="23" t="s">
        <v>26</v>
      </c>
      <c r="G208" s="23">
        <f>5+8+4+6+11+7+15+10+29+(9+9+5+5+5)+8</f>
        <v>136</v>
      </c>
      <c r="H208" s="16">
        <f>(2*1+6*1+3+3+2+2+2+5*1)/K208</f>
        <v>1.3888888888888888</v>
      </c>
      <c r="I208" s="24">
        <v>4</v>
      </c>
      <c r="J208" s="24">
        <v>7</v>
      </c>
      <c r="K208" s="24">
        <v>18</v>
      </c>
      <c r="L208" s="16">
        <f t="shared" si="47"/>
        <v>188.88888888888889</v>
      </c>
      <c r="M208" s="33">
        <f t="shared" si="46"/>
        <v>6.6215146464008973E-2</v>
      </c>
    </row>
    <row r="209" spans="2:13">
      <c r="B209" t="s">
        <v>60</v>
      </c>
      <c r="C209" t="s">
        <v>58</v>
      </c>
      <c r="D209" t="s">
        <v>59</v>
      </c>
      <c r="E209" t="s">
        <v>57</v>
      </c>
      <c r="F209" s="23" t="s">
        <v>12</v>
      </c>
      <c r="G209" s="23">
        <f>1+6</f>
        <v>7</v>
      </c>
      <c r="H209" s="32">
        <v>2</v>
      </c>
      <c r="I209" s="24">
        <v>1</v>
      </c>
      <c r="J209" s="24">
        <v>1</v>
      </c>
      <c r="K209" s="24">
        <v>1</v>
      </c>
      <c r="L209" s="16">
        <f t="shared" si="47"/>
        <v>14</v>
      </c>
      <c r="M209" s="33">
        <f t="shared" si="46"/>
        <v>4.9077108555677243E-3</v>
      </c>
    </row>
    <row r="210" spans="2:13">
      <c r="B210" t="s">
        <v>60</v>
      </c>
      <c r="C210" t="s">
        <v>58</v>
      </c>
      <c r="D210" t="s">
        <v>59</v>
      </c>
      <c r="E210" t="s">
        <v>57</v>
      </c>
      <c r="F210" s="23" t="s">
        <v>13</v>
      </c>
      <c r="G210" s="23">
        <f>26+71+7+22+4+4+12+7+10+6+68+28+46+60+45+(13+14+1+1+1+24+12+1+1+1+13)</f>
        <v>498</v>
      </c>
      <c r="H210" s="16">
        <f>(4*1+12*1.5+10*1.4+6*1+9*1+10*1.5+6*1.17+(3+4+1+1+1+6+3+1+1+1+4))/K210</f>
        <v>1.4561764705882352</v>
      </c>
      <c r="I210" s="24">
        <v>10</v>
      </c>
      <c r="J210" s="24">
        <v>8</v>
      </c>
      <c r="K210" s="24">
        <v>68</v>
      </c>
      <c r="L210" s="16">
        <f t="shared" si="47"/>
        <v>725.17588235294113</v>
      </c>
      <c r="M210" s="33">
        <f t="shared" si="46"/>
        <v>0.25421096785853087</v>
      </c>
    </row>
    <row r="211" spans="2:13">
      <c r="B211" t="s">
        <v>60</v>
      </c>
      <c r="C211" t="s">
        <v>58</v>
      </c>
      <c r="D211" t="s">
        <v>59</v>
      </c>
      <c r="E211" t="s">
        <v>57</v>
      </c>
      <c r="F211" s="23" t="s">
        <v>14</v>
      </c>
      <c r="G211" s="23">
        <v>0</v>
      </c>
      <c r="H211" s="24">
        <v>0</v>
      </c>
      <c r="I211" s="24">
        <v>0</v>
      </c>
      <c r="J211" s="24">
        <v>0</v>
      </c>
      <c r="K211" s="23">
        <v>0</v>
      </c>
      <c r="L211" s="16">
        <f t="shared" si="47"/>
        <v>0</v>
      </c>
      <c r="M211" s="33">
        <f t="shared" si="46"/>
        <v>0</v>
      </c>
    </row>
    <row r="212" spans="2:13">
      <c r="B212" t="s">
        <v>60</v>
      </c>
      <c r="C212" t="s">
        <v>58</v>
      </c>
      <c r="D212" t="s">
        <v>59</v>
      </c>
      <c r="E212" t="s">
        <v>55</v>
      </c>
      <c r="F212" s="23" t="s">
        <v>9</v>
      </c>
      <c r="G212" s="23">
        <v>468</v>
      </c>
      <c r="H212" s="16">
        <v>1.68</v>
      </c>
      <c r="I212" s="23"/>
      <c r="J212" s="23"/>
      <c r="K212" s="23"/>
      <c r="L212" s="16">
        <f>G212*H212</f>
        <v>786.24</v>
      </c>
      <c r="M212" s="33">
        <f t="shared" si="46"/>
        <v>0.27561704164868339</v>
      </c>
    </row>
    <row r="213" spans="2:13">
      <c r="B213" t="s">
        <v>60</v>
      </c>
      <c r="C213" t="s">
        <v>58</v>
      </c>
      <c r="D213" t="s">
        <v>54</v>
      </c>
      <c r="E213" t="s">
        <v>55</v>
      </c>
      <c r="F213" s="23" t="s">
        <v>6</v>
      </c>
      <c r="G213" s="23">
        <v>0</v>
      </c>
      <c r="H213" s="16">
        <v>0</v>
      </c>
      <c r="I213" s="23">
        <v>0</v>
      </c>
      <c r="J213" s="23">
        <v>0</v>
      </c>
      <c r="K213" s="24">
        <v>0</v>
      </c>
      <c r="L213" s="16">
        <f>G213*H213</f>
        <v>0</v>
      </c>
      <c r="M213" s="33">
        <f>L213/$AQ$22</f>
        <v>0</v>
      </c>
    </row>
    <row r="214" spans="2:13">
      <c r="B214" t="s">
        <v>60</v>
      </c>
      <c r="C214" t="s">
        <v>58</v>
      </c>
      <c r="D214" t="s">
        <v>54</v>
      </c>
      <c r="E214" t="s">
        <v>55</v>
      </c>
      <c r="F214" s="23" t="s">
        <v>23</v>
      </c>
      <c r="G214" s="23">
        <f>19+6</f>
        <v>25</v>
      </c>
      <c r="H214" s="24"/>
      <c r="I214" s="24">
        <v>2</v>
      </c>
      <c r="J214" s="24">
        <v>0</v>
      </c>
      <c r="K214" s="24">
        <v>2</v>
      </c>
      <c r="L214" s="16">
        <f>G214*H214</f>
        <v>0</v>
      </c>
      <c r="M214" s="33">
        <f t="shared" ref="M214:M223" si="48">L214/$AQ$22</f>
        <v>0</v>
      </c>
    </row>
    <row r="215" spans="2:13">
      <c r="B215" t="s">
        <v>60</v>
      </c>
      <c r="C215" t="s">
        <v>58</v>
      </c>
      <c r="D215" t="s">
        <v>54</v>
      </c>
      <c r="E215" t="s">
        <v>55</v>
      </c>
      <c r="F215" s="23" t="s">
        <v>56</v>
      </c>
      <c r="G215" s="23">
        <v>0</v>
      </c>
      <c r="H215" s="16">
        <v>0</v>
      </c>
      <c r="I215" s="23">
        <v>0</v>
      </c>
      <c r="J215" s="23">
        <v>0</v>
      </c>
      <c r="K215" s="23">
        <v>0</v>
      </c>
      <c r="L215" s="16">
        <f>G215*H215</f>
        <v>0</v>
      </c>
      <c r="M215" s="33">
        <f t="shared" si="48"/>
        <v>0</v>
      </c>
    </row>
    <row r="216" spans="2:13">
      <c r="B216" t="s">
        <v>60</v>
      </c>
      <c r="C216" t="s">
        <v>58</v>
      </c>
      <c r="D216" t="s">
        <v>54</v>
      </c>
      <c r="E216" t="s">
        <v>55</v>
      </c>
      <c r="F216" s="23" t="s">
        <v>8</v>
      </c>
      <c r="G216" s="23">
        <f>28*6</f>
        <v>168</v>
      </c>
      <c r="H216" s="16">
        <v>1</v>
      </c>
      <c r="I216" s="23">
        <v>6</v>
      </c>
      <c r="J216" s="23">
        <v>0</v>
      </c>
      <c r="K216" s="23">
        <f>4*6</f>
        <v>24</v>
      </c>
      <c r="L216" s="16">
        <f t="shared" ref="L216:L222" si="49">G216*H216</f>
        <v>168</v>
      </c>
      <c r="M216" s="33">
        <f t="shared" si="48"/>
        <v>4.0412485942893733E-2</v>
      </c>
    </row>
    <row r="217" spans="2:13">
      <c r="B217" t="s">
        <v>60</v>
      </c>
      <c r="C217" t="s">
        <v>58</v>
      </c>
      <c r="D217" t="s">
        <v>54</v>
      </c>
      <c r="E217" t="s">
        <v>57</v>
      </c>
      <c r="F217" s="23" t="s">
        <v>10</v>
      </c>
      <c r="G217" s="23">
        <v>0</v>
      </c>
      <c r="H217" s="16">
        <v>0</v>
      </c>
      <c r="I217" s="23">
        <v>0</v>
      </c>
      <c r="J217" s="23">
        <v>0</v>
      </c>
      <c r="K217" s="23">
        <v>0</v>
      </c>
      <c r="L217" s="16">
        <f t="shared" si="49"/>
        <v>0</v>
      </c>
      <c r="M217" s="33">
        <f t="shared" si="48"/>
        <v>0</v>
      </c>
    </row>
    <row r="218" spans="2:13">
      <c r="B218" t="s">
        <v>60</v>
      </c>
      <c r="C218" t="s">
        <v>58</v>
      </c>
      <c r="D218" t="s">
        <v>54</v>
      </c>
      <c r="E218" t="s">
        <v>57</v>
      </c>
      <c r="F218" s="23" t="s">
        <v>11</v>
      </c>
      <c r="G218" s="23">
        <f>62+91+50</f>
        <v>203</v>
      </c>
      <c r="H218" s="16">
        <f>(10*1.7+12*1.17+10*1)/K218</f>
        <v>1.2825</v>
      </c>
      <c r="I218" s="24">
        <v>2</v>
      </c>
      <c r="J218" s="24">
        <v>0</v>
      </c>
      <c r="K218" s="24">
        <v>32</v>
      </c>
      <c r="L218" s="16">
        <f t="shared" si="49"/>
        <v>260.34749999999997</v>
      </c>
      <c r="M218" s="33">
        <f t="shared" si="48"/>
        <v>6.2626724309628123E-2</v>
      </c>
    </row>
    <row r="219" spans="2:13">
      <c r="B219" t="s">
        <v>60</v>
      </c>
      <c r="C219" t="s">
        <v>58</v>
      </c>
      <c r="D219" t="s">
        <v>54</v>
      </c>
      <c r="E219" t="s">
        <v>57</v>
      </c>
      <c r="F219" s="23" t="s">
        <v>26</v>
      </c>
      <c r="G219" s="23">
        <f>7+60+8+112+15+109+188</f>
        <v>499</v>
      </c>
      <c r="H219" s="16">
        <f>(3*2.33+14*1.42+11*2.09+8*3.5)/K219</f>
        <v>2.1627777777777779</v>
      </c>
      <c r="I219" s="24">
        <v>4</v>
      </c>
      <c r="J219" s="24">
        <v>3</v>
      </c>
      <c r="K219" s="24">
        <v>36</v>
      </c>
      <c r="L219" s="16">
        <f t="shared" si="49"/>
        <v>1079.2261111111111</v>
      </c>
      <c r="M219" s="33">
        <f t="shared" si="48"/>
        <v>0.25960839312191458</v>
      </c>
    </row>
    <row r="220" spans="2:13">
      <c r="B220" t="s">
        <v>60</v>
      </c>
      <c r="C220" t="s">
        <v>58</v>
      </c>
      <c r="D220" t="s">
        <v>54</v>
      </c>
      <c r="E220" t="s">
        <v>57</v>
      </c>
      <c r="F220" s="23" t="s">
        <v>12</v>
      </c>
      <c r="G220" s="23">
        <f>129+83</f>
        <v>212</v>
      </c>
      <c r="H220" s="32">
        <f>(5*4+4*4.5)/K220</f>
        <v>4.2222222222222223</v>
      </c>
      <c r="I220" s="24">
        <v>2</v>
      </c>
      <c r="J220" s="24">
        <v>0</v>
      </c>
      <c r="K220" s="24">
        <v>9</v>
      </c>
      <c r="L220" s="16">
        <f t="shared" si="49"/>
        <v>895.11111111111109</v>
      </c>
      <c r="M220" s="33">
        <f t="shared" si="48"/>
        <v>0.21531943568515338</v>
      </c>
    </row>
    <row r="221" spans="2:13">
      <c r="B221" t="s">
        <v>60</v>
      </c>
      <c r="C221" t="s">
        <v>58</v>
      </c>
      <c r="D221" t="s">
        <v>54</v>
      </c>
      <c r="E221" t="s">
        <v>57</v>
      </c>
      <c r="F221" s="23" t="s">
        <v>13</v>
      </c>
      <c r="G221" s="23">
        <f>53+115+14+7+144+52+147+148</f>
        <v>680</v>
      </c>
      <c r="H221" s="16">
        <f>(6*3.33+10*2.8+8*4.74+7*1.71+10*3.9+7*4.14)/K221</f>
        <v>3.4552083333333332</v>
      </c>
      <c r="I221" s="24">
        <v>6</v>
      </c>
      <c r="J221" s="24">
        <v>2</v>
      </c>
      <c r="K221" s="24">
        <v>48</v>
      </c>
      <c r="L221" s="16">
        <f t="shared" si="49"/>
        <v>2349.5416666666665</v>
      </c>
      <c r="M221" s="33">
        <f t="shared" si="48"/>
        <v>0.56518344985958202</v>
      </c>
    </row>
    <row r="222" spans="2:13">
      <c r="B222" t="s">
        <v>60</v>
      </c>
      <c r="C222" t="s">
        <v>58</v>
      </c>
      <c r="D222" t="s">
        <v>54</v>
      </c>
      <c r="E222" t="s">
        <v>57</v>
      </c>
      <c r="F222" s="23" t="s">
        <v>14</v>
      </c>
      <c r="G222" s="23">
        <v>0</v>
      </c>
      <c r="H222" s="24">
        <v>0</v>
      </c>
      <c r="I222" s="24">
        <v>0</v>
      </c>
      <c r="J222" s="24">
        <v>0</v>
      </c>
      <c r="K222" s="23">
        <v>0</v>
      </c>
      <c r="L222" s="16">
        <f t="shared" si="49"/>
        <v>0</v>
      </c>
      <c r="M222" s="33">
        <f t="shared" si="48"/>
        <v>0</v>
      </c>
    </row>
    <row r="223" spans="2:13">
      <c r="B223" t="s">
        <v>60</v>
      </c>
      <c r="C223" t="s">
        <v>58</v>
      </c>
      <c r="D223" t="s">
        <v>54</v>
      </c>
      <c r="E223" t="s">
        <v>57</v>
      </c>
      <c r="F223" s="23" t="s">
        <v>9</v>
      </c>
      <c r="G223" s="23">
        <v>0</v>
      </c>
      <c r="H223" s="16">
        <v>0</v>
      </c>
      <c r="I223" s="23">
        <v>0</v>
      </c>
      <c r="J223" s="23">
        <v>0</v>
      </c>
      <c r="K223" s="23">
        <v>0</v>
      </c>
      <c r="L223" s="16">
        <f>G223*H223</f>
        <v>0</v>
      </c>
      <c r="M223" s="33">
        <f t="shared" si="48"/>
        <v>0</v>
      </c>
    </row>
  </sheetData>
  <mergeCells count="10">
    <mergeCell ref="C102:I102"/>
    <mergeCell ref="B58:G58"/>
    <mergeCell ref="H58:M58"/>
    <mergeCell ref="AS6:AY6"/>
    <mergeCell ref="AL6:AR6"/>
    <mergeCell ref="C6:I6"/>
    <mergeCell ref="J6:P6"/>
    <mergeCell ref="Q6:W6"/>
    <mergeCell ref="X6:AD6"/>
    <mergeCell ref="AE6:AK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2008-10-21T23:50:48Z</dcterms:created>
  <dcterms:modified xsi:type="dcterms:W3CDTF">2009-03-26T02:31:50Z</dcterms:modified>
</cp:coreProperties>
</file>