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6" windowWidth="16212" windowHeight="892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N88" i="1"/>
  <c r="AM88"/>
  <c r="AL88"/>
  <c r="AK88"/>
  <c r="AP88" s="1"/>
  <c r="AO90"/>
  <c r="AN90"/>
  <c r="AM90"/>
  <c r="AL90"/>
  <c r="AK90"/>
  <c r="AP90" s="1"/>
  <c r="G88"/>
  <c r="B95"/>
  <c r="C95"/>
  <c r="D95"/>
  <c r="E95"/>
  <c r="F95"/>
  <c r="B96"/>
  <c r="C96"/>
  <c r="D96"/>
  <c r="E96"/>
  <c r="E94"/>
  <c r="D94"/>
  <c r="C94"/>
  <c r="B94"/>
  <c r="AV90"/>
  <c r="AU90"/>
  <c r="AT90"/>
  <c r="AH90"/>
  <c r="AF90"/>
  <c r="AE90"/>
  <c r="AD90"/>
  <c r="AR90" s="1"/>
  <c r="AA90"/>
  <c r="Z90"/>
  <c r="Y90"/>
  <c r="X90"/>
  <c r="W90"/>
  <c r="AB90" s="1"/>
  <c r="T90"/>
  <c r="S90"/>
  <c r="R90"/>
  <c r="Q90"/>
  <c r="P90"/>
  <c r="U90" s="1"/>
  <c r="M90"/>
  <c r="L90"/>
  <c r="K90"/>
  <c r="J90"/>
  <c r="I90"/>
  <c r="N90" s="1"/>
  <c r="F90"/>
  <c r="E90"/>
  <c r="D90"/>
  <c r="C90"/>
  <c r="B90"/>
  <c r="G90" s="1"/>
  <c r="AV89"/>
  <c r="AU89"/>
  <c r="AP89"/>
  <c r="AK89"/>
  <c r="AR89" s="1"/>
  <c r="AF89"/>
  <c r="AT89" s="1"/>
  <c r="AE89"/>
  <c r="AS89" s="1"/>
  <c r="AD89"/>
  <c r="AA89"/>
  <c r="Y89"/>
  <c r="X89"/>
  <c r="W89"/>
  <c r="AB89" s="1"/>
  <c r="T89"/>
  <c r="R89"/>
  <c r="Q89"/>
  <c r="P89"/>
  <c r="U89" s="1"/>
  <c r="M89"/>
  <c r="K89"/>
  <c r="J89"/>
  <c r="I89"/>
  <c r="N89" s="1"/>
  <c r="F89"/>
  <c r="D89"/>
  <c r="C89"/>
  <c r="B89"/>
  <c r="G89" s="1"/>
  <c r="AV88"/>
  <c r="AU88"/>
  <c r="AT88"/>
  <c r="AS88"/>
  <c r="AW88" s="1"/>
  <c r="F94" s="1"/>
  <c r="AR88"/>
  <c r="AF88"/>
  <c r="AE88"/>
  <c r="AD88"/>
  <c r="AI88" s="1"/>
  <c r="AA88"/>
  <c r="Z88"/>
  <c r="Y88"/>
  <c r="X88"/>
  <c r="W88"/>
  <c r="AB88" s="1"/>
  <c r="T88"/>
  <c r="S88"/>
  <c r="R88"/>
  <c r="Q88"/>
  <c r="P88"/>
  <c r="U88" s="1"/>
  <c r="M88"/>
  <c r="L88"/>
  <c r="K88"/>
  <c r="J88"/>
  <c r="I88"/>
  <c r="N88" s="1"/>
  <c r="F88"/>
  <c r="E88"/>
  <c r="D88"/>
  <c r="C88"/>
  <c r="B88"/>
  <c r="AI90" l="1"/>
  <c r="AS90"/>
  <c r="AW90" s="1"/>
  <c r="F96" s="1"/>
  <c r="AW89"/>
  <c r="AI89"/>
  <c r="D57"/>
  <c r="D61"/>
  <c r="H51"/>
  <c r="C61" s="1"/>
  <c r="C51"/>
  <c r="C60" s="1"/>
  <c r="D60" s="1"/>
  <c r="D51"/>
  <c r="C58" s="1"/>
  <c r="D58" s="1"/>
  <c r="E51"/>
  <c r="C59" s="1"/>
  <c r="D59" s="1"/>
  <c r="F51"/>
  <c r="G51"/>
  <c r="B51"/>
  <c r="C57" s="1"/>
  <c r="D39" l="1"/>
  <c r="D38"/>
  <c r="D37"/>
  <c r="D36"/>
  <c r="D35"/>
  <c r="D25" l="1"/>
  <c r="D24"/>
  <c r="D23"/>
  <c r="D22"/>
  <c r="D21"/>
  <c r="D9"/>
  <c r="D10"/>
  <c r="D11"/>
  <c r="D12"/>
  <c r="D8"/>
</calcChain>
</file>

<file path=xl/sharedStrings.xml><?xml version="1.0" encoding="utf-8"?>
<sst xmlns="http://schemas.openxmlformats.org/spreadsheetml/2006/main" count="126" uniqueCount="35">
  <si>
    <t>Comparing BFS with Reusing Existing Infrastructures</t>
  </si>
  <si>
    <t>EDEM</t>
  </si>
  <si>
    <t>BFS</t>
  </si>
  <si>
    <t>CORBA-NS</t>
  </si>
  <si>
    <t>Siena</t>
  </si>
  <si>
    <t>JavaSpaces</t>
  </si>
  <si>
    <t>YANCEES</t>
  </si>
  <si>
    <t>Infrastructure</t>
  </si>
  <si>
    <t>Adaptation</t>
  </si>
  <si>
    <t>YANCEES  (CB/TB core)</t>
  </si>
  <si>
    <t>YANCEES (Core plugins)</t>
  </si>
  <si>
    <t>Total</t>
  </si>
  <si>
    <t>CASSIUS</t>
  </si>
  <si>
    <t>YANCEES (Client)</t>
  </si>
  <si>
    <t>YANCEES (Server)</t>
  </si>
  <si>
    <t>YANCEES (Client&amp;Server)</t>
  </si>
  <si>
    <t>IMPROMPTU</t>
  </si>
  <si>
    <t>TOTAL</t>
  </si>
  <si>
    <t>Reused Infrastructure</t>
  </si>
  <si>
    <t>Application-specific code</t>
  </si>
  <si>
    <t>CC</t>
  </si>
  <si>
    <t>YANCEES (client)</t>
  </si>
  <si>
    <t>YANCEES (server)</t>
  </si>
  <si>
    <t>YANCEES (clien+server)</t>
  </si>
  <si>
    <t>LOC</t>
  </si>
  <si>
    <t>#Classes</t>
  </si>
  <si>
    <t>#Interf</t>
  </si>
  <si>
    <t>#Methods</t>
  </si>
  <si>
    <t>LOC*CC</t>
  </si>
  <si>
    <t>Percent</t>
  </si>
  <si>
    <t>Case Study</t>
  </si>
  <si>
    <t>JavaSpace</t>
  </si>
  <si>
    <t>We copy and paste the raw, global data for each case study. We do this to prevent errors.</t>
  </si>
  <si>
    <t>adding core plug-ins costs</t>
  </si>
  <si>
    <t>Build from Scratch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</si>
</sst>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0" xfId="0" applyFont="1"/>
    <xf numFmtId="1" fontId="0" fillId="0" borderId="0" xfId="0" applyNumberForma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EDEM: Reuse versus Build From Scratch (LOC)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Sheet1!$B$7</c:f>
              <c:strCache>
                <c:ptCount val="1"/>
                <c:pt idx="0">
                  <c:v>Infrastructure</c:v>
                </c:pt>
              </c:strCache>
            </c:strRef>
          </c:tx>
          <c:cat>
            <c:strRef>
              <c:f>Sheet1!$A$8:$A$12</c:f>
              <c:strCache>
                <c:ptCount val="5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 (CB/TB core)</c:v>
                </c:pt>
              </c:strCache>
            </c:strRef>
          </c:cat>
          <c:val>
            <c:numRef>
              <c:f>Sheet1!$B$8:$B$12</c:f>
              <c:numCache>
                <c:formatCode>General</c:formatCode>
                <c:ptCount val="5"/>
                <c:pt idx="0">
                  <c:v>0</c:v>
                </c:pt>
                <c:pt idx="1">
                  <c:v>54414</c:v>
                </c:pt>
                <c:pt idx="2">
                  <c:v>29052</c:v>
                </c:pt>
                <c:pt idx="3">
                  <c:v>13490</c:v>
                </c:pt>
                <c:pt idx="4">
                  <c:v>7806</c:v>
                </c:pt>
              </c:numCache>
            </c:numRef>
          </c:val>
        </c:ser>
        <c:ser>
          <c:idx val="1"/>
          <c:order val="1"/>
          <c:tx>
            <c:strRef>
              <c:f>Sheet1!$C$7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Sheet1!$A$8:$A$12</c:f>
              <c:strCache>
                <c:ptCount val="5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 (CB/TB core)</c:v>
                </c:pt>
              </c:strCache>
            </c:strRef>
          </c:cat>
          <c:val>
            <c:numRef>
              <c:f>Sheet1!$C$8:$C$12</c:f>
              <c:numCache>
                <c:formatCode>General</c:formatCode>
                <c:ptCount val="5"/>
                <c:pt idx="0">
                  <c:v>2612</c:v>
                </c:pt>
                <c:pt idx="1">
                  <c:v>2949</c:v>
                </c:pt>
                <c:pt idx="2">
                  <c:v>2998</c:v>
                </c:pt>
                <c:pt idx="3">
                  <c:v>2708</c:v>
                </c:pt>
                <c:pt idx="4">
                  <c:v>2907</c:v>
                </c:pt>
              </c:numCache>
            </c:numRef>
          </c:val>
        </c:ser>
        <c:gapWidth val="75"/>
        <c:overlap val="100"/>
        <c:axId val="116871552"/>
        <c:axId val="116873088"/>
      </c:barChart>
      <c:catAx>
        <c:axId val="116871552"/>
        <c:scaling>
          <c:orientation val="minMax"/>
        </c:scaling>
        <c:axPos val="l"/>
        <c:majorTickMark val="none"/>
        <c:tickLblPos val="nextTo"/>
        <c:crossAx val="116873088"/>
        <c:crosses val="autoZero"/>
        <c:auto val="1"/>
        <c:lblAlgn val="ctr"/>
        <c:lblOffset val="100"/>
      </c:catAx>
      <c:valAx>
        <c:axId val="11687308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6871552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CASSIUS: Reuse versus Build From Scratch (LOC)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Sheet1!$B$7</c:f>
              <c:strCache>
                <c:ptCount val="1"/>
                <c:pt idx="0">
                  <c:v>Infrastructure</c:v>
                </c:pt>
              </c:strCache>
            </c:strRef>
          </c:tx>
          <c:cat>
            <c:strRef>
              <c:f>Sheet1!$A$21:$A$25</c:f>
              <c:strCache>
                <c:ptCount val="5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 (CB/TB core)</c:v>
                </c:pt>
              </c:strCache>
            </c:strRef>
          </c:cat>
          <c:val>
            <c:numRef>
              <c:f>Sheet1!$B$21:$B$25</c:f>
              <c:numCache>
                <c:formatCode>General</c:formatCode>
                <c:ptCount val="5"/>
                <c:pt idx="0">
                  <c:v>0</c:v>
                </c:pt>
                <c:pt idx="1">
                  <c:v>54414</c:v>
                </c:pt>
                <c:pt idx="2">
                  <c:v>29052</c:v>
                </c:pt>
                <c:pt idx="3">
                  <c:v>13490</c:v>
                </c:pt>
                <c:pt idx="4">
                  <c:v>7806</c:v>
                </c:pt>
              </c:numCache>
            </c:numRef>
          </c:val>
        </c:ser>
        <c:ser>
          <c:idx val="1"/>
          <c:order val="1"/>
          <c:tx>
            <c:strRef>
              <c:f>Sheet1!$C$7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Sheet1!$A$21:$A$25</c:f>
              <c:strCache>
                <c:ptCount val="5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 (CB/TB core)</c:v>
                </c:pt>
              </c:strCache>
            </c:strRef>
          </c:cat>
          <c:val>
            <c:numRef>
              <c:f>Sheet1!$C$21:$C$25</c:f>
              <c:numCache>
                <c:formatCode>General</c:formatCode>
                <c:ptCount val="5"/>
                <c:pt idx="0">
                  <c:v>2686</c:v>
                </c:pt>
                <c:pt idx="1">
                  <c:v>2575</c:v>
                </c:pt>
                <c:pt idx="2">
                  <c:v>2948</c:v>
                </c:pt>
                <c:pt idx="3">
                  <c:v>2705</c:v>
                </c:pt>
                <c:pt idx="4">
                  <c:v>1979</c:v>
                </c:pt>
              </c:numCache>
            </c:numRef>
          </c:val>
        </c:ser>
        <c:gapWidth val="75"/>
        <c:overlap val="100"/>
        <c:axId val="116889856"/>
        <c:axId val="116895744"/>
      </c:barChart>
      <c:catAx>
        <c:axId val="116889856"/>
        <c:scaling>
          <c:orientation val="minMax"/>
        </c:scaling>
        <c:axPos val="l"/>
        <c:majorTickMark val="none"/>
        <c:tickLblPos val="nextTo"/>
        <c:crossAx val="116895744"/>
        <c:crosses val="autoZero"/>
        <c:auto val="1"/>
        <c:lblAlgn val="ctr"/>
        <c:lblOffset val="100"/>
      </c:catAx>
      <c:valAx>
        <c:axId val="11689574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688985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IMPROMPTU: Reuse versus Build From Scratch (LOC)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Sheet1!$B$7</c:f>
              <c:strCache>
                <c:ptCount val="1"/>
                <c:pt idx="0">
                  <c:v>Infrastructure</c:v>
                </c:pt>
              </c:strCache>
            </c:strRef>
          </c:tx>
          <c:cat>
            <c:strRef>
              <c:f>Sheet1!$A$35:$A$39</c:f>
              <c:strCache>
                <c:ptCount val="5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 (CB/TB core)</c:v>
                </c:pt>
              </c:strCache>
            </c:strRef>
          </c:cat>
          <c:val>
            <c:numRef>
              <c:f>Sheet1!$B$35:$B$39</c:f>
              <c:numCache>
                <c:formatCode>General</c:formatCode>
                <c:ptCount val="5"/>
                <c:pt idx="0">
                  <c:v>0</c:v>
                </c:pt>
                <c:pt idx="1">
                  <c:v>54414</c:v>
                </c:pt>
                <c:pt idx="2">
                  <c:v>29052</c:v>
                </c:pt>
                <c:pt idx="3">
                  <c:v>13490</c:v>
                </c:pt>
                <c:pt idx="4">
                  <c:v>7806</c:v>
                </c:pt>
              </c:numCache>
            </c:numRef>
          </c:val>
        </c:ser>
        <c:ser>
          <c:idx val="1"/>
          <c:order val="1"/>
          <c:tx>
            <c:strRef>
              <c:f>Sheet1!$C$7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Sheet1!$A$35:$A$39</c:f>
              <c:strCache>
                <c:ptCount val="5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 (CB/TB core)</c:v>
                </c:pt>
              </c:strCache>
            </c:strRef>
          </c:cat>
          <c:val>
            <c:numRef>
              <c:f>Sheet1!$C$35:$C$39</c:f>
              <c:numCache>
                <c:formatCode>General</c:formatCode>
                <c:ptCount val="5"/>
                <c:pt idx="0">
                  <c:v>1233</c:v>
                </c:pt>
                <c:pt idx="1">
                  <c:v>1371</c:v>
                </c:pt>
                <c:pt idx="2">
                  <c:v>1560</c:v>
                </c:pt>
                <c:pt idx="3">
                  <c:v>1458</c:v>
                </c:pt>
                <c:pt idx="4">
                  <c:v>1455</c:v>
                </c:pt>
              </c:numCache>
            </c:numRef>
          </c:val>
        </c:ser>
        <c:gapWidth val="75"/>
        <c:overlap val="100"/>
        <c:axId val="116924800"/>
        <c:axId val="116926336"/>
      </c:barChart>
      <c:catAx>
        <c:axId val="116924800"/>
        <c:scaling>
          <c:orientation val="minMax"/>
        </c:scaling>
        <c:axPos val="l"/>
        <c:majorTickMark val="none"/>
        <c:tickLblPos val="nextTo"/>
        <c:crossAx val="116926336"/>
        <c:crosses val="autoZero"/>
        <c:auto val="1"/>
        <c:lblAlgn val="ctr"/>
        <c:lblOffset val="100"/>
      </c:catAx>
      <c:valAx>
        <c:axId val="11692633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6924800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Total</a:t>
            </a:r>
            <a:r>
              <a:rPr lang="en-US" sz="1100" baseline="0"/>
              <a:t> for the 3 studies</a:t>
            </a:r>
            <a:r>
              <a:rPr lang="en-US" sz="1100"/>
              <a:t>: Reuse versus Build From Scratch (LOC)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Sheet1!$B$56</c:f>
              <c:strCache>
                <c:ptCount val="1"/>
                <c:pt idx="0">
                  <c:v>Reused Infrastructure</c:v>
                </c:pt>
              </c:strCache>
            </c:strRef>
          </c:tx>
          <c:cat>
            <c:strRef>
              <c:f>Sheet1!$A$57:$A$61</c:f>
              <c:strCache>
                <c:ptCount val="5"/>
                <c:pt idx="0">
                  <c:v>Build from Scratch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(Client&amp;Server)</c:v>
                </c:pt>
              </c:strCache>
            </c:strRef>
          </c:cat>
          <c:val>
            <c:numRef>
              <c:f>Sheet1!$B$57:$B$61</c:f>
              <c:numCache>
                <c:formatCode>General</c:formatCode>
                <c:ptCount val="5"/>
                <c:pt idx="0">
                  <c:v>0</c:v>
                </c:pt>
                <c:pt idx="1">
                  <c:v>54414</c:v>
                </c:pt>
                <c:pt idx="2">
                  <c:v>29052</c:v>
                </c:pt>
                <c:pt idx="3">
                  <c:v>13490</c:v>
                </c:pt>
                <c:pt idx="4">
                  <c:v>7806</c:v>
                </c:pt>
              </c:numCache>
            </c:numRef>
          </c:val>
        </c:ser>
        <c:ser>
          <c:idx val="1"/>
          <c:order val="1"/>
          <c:tx>
            <c:strRef>
              <c:f>Sheet1!$C$56</c:f>
              <c:strCache>
                <c:ptCount val="1"/>
                <c:pt idx="0">
                  <c:v>Application-specific code</c:v>
                </c:pt>
              </c:strCache>
            </c:strRef>
          </c:tx>
          <c:cat>
            <c:strRef>
              <c:f>Sheet1!$A$57:$A$61</c:f>
              <c:strCache>
                <c:ptCount val="5"/>
                <c:pt idx="0">
                  <c:v>Build from Scratch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(Client&amp;Server)</c:v>
                </c:pt>
              </c:strCache>
            </c:strRef>
          </c:cat>
          <c:val>
            <c:numRef>
              <c:f>Sheet1!$C$57:$C$61</c:f>
              <c:numCache>
                <c:formatCode>General</c:formatCode>
                <c:ptCount val="5"/>
                <c:pt idx="0">
                  <c:v>6531</c:v>
                </c:pt>
                <c:pt idx="1">
                  <c:v>7457</c:v>
                </c:pt>
                <c:pt idx="2">
                  <c:v>7161</c:v>
                </c:pt>
                <c:pt idx="3">
                  <c:v>6654</c:v>
                </c:pt>
                <c:pt idx="4">
                  <c:v>6341</c:v>
                </c:pt>
              </c:numCache>
            </c:numRef>
          </c:val>
        </c:ser>
        <c:gapWidth val="75"/>
        <c:overlap val="100"/>
        <c:axId val="116967680"/>
        <c:axId val="116969472"/>
      </c:barChart>
      <c:catAx>
        <c:axId val="116967680"/>
        <c:scaling>
          <c:orientation val="minMax"/>
        </c:scaling>
        <c:axPos val="l"/>
        <c:majorTickMark val="none"/>
        <c:tickLblPos val="nextTo"/>
        <c:crossAx val="116969472"/>
        <c:crosses val="autoZero"/>
        <c:auto val="1"/>
        <c:lblAlgn val="ctr"/>
        <c:lblOffset val="100"/>
      </c:catAx>
      <c:valAx>
        <c:axId val="11696947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696768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100"/>
            </a:pPr>
            <a:r>
              <a:rPr lang="en-US" sz="1100" b="1" i="0" u="none" strike="noStrike" baseline="0"/>
              <a:t>Total reuse effort: EDEM+CASSIUS+IMPROMPTU (LOC)</a:t>
            </a:r>
            <a:endParaRPr lang="en-US" sz="1100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Sheet1!$C$56</c:f>
              <c:strCache>
                <c:ptCount val="1"/>
                <c:pt idx="0">
                  <c:v>Application-specific code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Sheet1!$A$57:$A$61</c:f>
              <c:strCache>
                <c:ptCount val="5"/>
                <c:pt idx="0">
                  <c:v>Build from Scratch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(Client&amp;Server)</c:v>
                </c:pt>
              </c:strCache>
            </c:strRef>
          </c:cat>
          <c:val>
            <c:numRef>
              <c:f>Sheet1!$C$57:$C$61</c:f>
              <c:numCache>
                <c:formatCode>General</c:formatCode>
                <c:ptCount val="5"/>
                <c:pt idx="0">
                  <c:v>6531</c:v>
                </c:pt>
                <c:pt idx="1">
                  <c:v>7457</c:v>
                </c:pt>
                <c:pt idx="2">
                  <c:v>7161</c:v>
                </c:pt>
                <c:pt idx="3">
                  <c:v>6654</c:v>
                </c:pt>
                <c:pt idx="4">
                  <c:v>6341</c:v>
                </c:pt>
              </c:numCache>
            </c:numRef>
          </c:val>
        </c:ser>
        <c:gapWidth val="75"/>
        <c:overlap val="100"/>
        <c:axId val="116753536"/>
        <c:axId val="116755072"/>
      </c:barChart>
      <c:catAx>
        <c:axId val="116753536"/>
        <c:scaling>
          <c:orientation val="minMax"/>
        </c:scaling>
        <c:axPos val="l"/>
        <c:majorTickMark val="none"/>
        <c:tickLblPos val="nextTo"/>
        <c:crossAx val="116755072"/>
        <c:crosses val="autoZero"/>
        <c:auto val="1"/>
        <c:lblAlgn val="ctr"/>
        <c:lblOffset val="100"/>
      </c:catAx>
      <c:valAx>
        <c:axId val="11675507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1675353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Total development efforg:</a:t>
            </a:r>
            <a:r>
              <a:rPr lang="en-US" sz="1100" baseline="0"/>
              <a:t> EDEM+CASSIUS+IMPROMPTU (LOC*CC)</a:t>
            </a:r>
            <a:endParaRPr lang="en-US" sz="1100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Sheet1!$A$94</c:f>
              <c:strCache>
                <c:ptCount val="1"/>
                <c:pt idx="0">
                  <c:v>EDEM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Sheet1!$B$93:$F$93</c:f>
              <c:strCache>
                <c:ptCount val="5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</c:v>
                </c:pt>
                <c:pt idx="4">
                  <c:v>YANCEES (Client&amp;Server)</c:v>
                </c:pt>
              </c:strCache>
            </c:strRef>
          </c:cat>
          <c:val>
            <c:numRef>
              <c:f>Sheet1!$B$94:$F$94</c:f>
              <c:numCache>
                <c:formatCode>0</c:formatCode>
                <c:ptCount val="5"/>
                <c:pt idx="0">
                  <c:v>5505.7364534412945</c:v>
                </c:pt>
                <c:pt idx="1">
                  <c:v>5758.384426229507</c:v>
                </c:pt>
                <c:pt idx="2">
                  <c:v>6404.8356437768234</c:v>
                </c:pt>
                <c:pt idx="3">
                  <c:v>6429.1550207468881</c:v>
                </c:pt>
                <c:pt idx="4">
                  <c:v>5611.068188153311</c:v>
                </c:pt>
              </c:numCache>
            </c:numRef>
          </c:val>
        </c:ser>
        <c:ser>
          <c:idx val="1"/>
          <c:order val="1"/>
          <c:tx>
            <c:strRef>
              <c:f>Sheet1!$A$95</c:f>
              <c:strCache>
                <c:ptCount val="1"/>
                <c:pt idx="0">
                  <c:v>CASSIUS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Sheet1!$B$93:$F$93</c:f>
              <c:strCache>
                <c:ptCount val="5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</c:v>
                </c:pt>
                <c:pt idx="4">
                  <c:v>YANCEES (Client&amp;Server)</c:v>
                </c:pt>
              </c:strCache>
            </c:strRef>
          </c:cat>
          <c:val>
            <c:numRef>
              <c:f>Sheet1!$B$95:$F$95</c:f>
              <c:numCache>
                <c:formatCode>0</c:formatCode>
                <c:ptCount val="5"/>
                <c:pt idx="0">
                  <c:v>5468.0548971193411</c:v>
                </c:pt>
                <c:pt idx="1">
                  <c:v>5016.0999999999995</c:v>
                </c:pt>
                <c:pt idx="2">
                  <c:v>6007.0531726907629</c:v>
                </c:pt>
                <c:pt idx="3">
                  <c:v>5578.9790123456796</c:v>
                </c:pt>
                <c:pt idx="4">
                  <c:v>3634.9761290322585</c:v>
                </c:pt>
              </c:numCache>
            </c:numRef>
          </c:val>
        </c:ser>
        <c:ser>
          <c:idx val="2"/>
          <c:order val="2"/>
          <c:tx>
            <c:strRef>
              <c:f>Sheet1!$A$96</c:f>
              <c:strCache>
                <c:ptCount val="1"/>
                <c:pt idx="0">
                  <c:v>IMPROMPTU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Sheet1!$B$93:$F$93</c:f>
              <c:strCache>
                <c:ptCount val="5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</c:v>
                </c:pt>
                <c:pt idx="4">
                  <c:v>YANCEES (Client&amp;Server)</c:v>
                </c:pt>
              </c:strCache>
            </c:strRef>
          </c:cat>
          <c:val>
            <c:numRef>
              <c:f>Sheet1!$B$96:$F$96</c:f>
              <c:numCache>
                <c:formatCode>0</c:formatCode>
                <c:ptCount val="5"/>
                <c:pt idx="0">
                  <c:v>2301.4972500000003</c:v>
                </c:pt>
                <c:pt idx="1">
                  <c:v>2672.6513592233014</c:v>
                </c:pt>
                <c:pt idx="2">
                  <c:v>3193.5967741935488</c:v>
                </c:pt>
                <c:pt idx="3">
                  <c:v>2857.2381818181821</c:v>
                </c:pt>
                <c:pt idx="4">
                  <c:v>3418.7749122807018</c:v>
                </c:pt>
              </c:numCache>
            </c:numRef>
          </c:val>
        </c:ser>
        <c:gapWidth val="75"/>
        <c:overlap val="100"/>
        <c:axId val="116995200"/>
        <c:axId val="116996736"/>
      </c:barChart>
      <c:catAx>
        <c:axId val="116995200"/>
        <c:scaling>
          <c:orientation val="minMax"/>
        </c:scaling>
        <c:axPos val="l"/>
        <c:majorTickMark val="none"/>
        <c:tickLblPos val="nextTo"/>
        <c:crossAx val="116996736"/>
        <c:crosses val="autoZero"/>
        <c:auto val="1"/>
        <c:lblAlgn val="ctr"/>
        <c:lblOffset val="100"/>
      </c:catAx>
      <c:valAx>
        <c:axId val="116996736"/>
        <c:scaling>
          <c:orientation val="minMax"/>
        </c:scaling>
        <c:axPos val="b"/>
        <c:majorGridlines/>
        <c:numFmt formatCode="0" sourceLinked="1"/>
        <c:majorTickMark val="none"/>
        <c:tickLblPos val="nextTo"/>
        <c:spPr>
          <a:ln w="9525">
            <a:noFill/>
          </a:ln>
        </c:spPr>
        <c:crossAx val="1169952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4</xdr:row>
      <xdr:rowOff>15240</xdr:rowOff>
    </xdr:from>
    <xdr:to>
      <xdr:col>12</xdr:col>
      <xdr:colOff>518160</xdr:colOff>
      <xdr:row>15</xdr:row>
      <xdr:rowOff>175260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53340</xdr:colOff>
      <xdr:row>17</xdr:row>
      <xdr:rowOff>91440</xdr:rowOff>
    </xdr:from>
    <xdr:to>
      <xdr:col>12</xdr:col>
      <xdr:colOff>533400</xdr:colOff>
      <xdr:row>29</xdr:row>
      <xdr:rowOff>60960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53340</xdr:colOff>
      <xdr:row>31</xdr:row>
      <xdr:rowOff>0</xdr:rowOff>
    </xdr:from>
    <xdr:to>
      <xdr:col>12</xdr:col>
      <xdr:colOff>533400</xdr:colOff>
      <xdr:row>43</xdr:row>
      <xdr:rowOff>129540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53</xdr:row>
      <xdr:rowOff>160020</xdr:rowOff>
    </xdr:from>
    <xdr:to>
      <xdr:col>15</xdr:col>
      <xdr:colOff>480060</xdr:colOff>
      <xdr:row>66</xdr:row>
      <xdr:rowOff>106680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213360</xdr:colOff>
      <xdr:row>68</xdr:row>
      <xdr:rowOff>129540</xdr:rowOff>
    </xdr:from>
    <xdr:to>
      <xdr:col>5</xdr:col>
      <xdr:colOff>381000</xdr:colOff>
      <xdr:row>82</xdr:row>
      <xdr:rowOff>7620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807720</xdr:colOff>
      <xdr:row>98</xdr:row>
      <xdr:rowOff>76200</xdr:rowOff>
    </xdr:from>
    <xdr:to>
      <xdr:col>6</xdr:col>
      <xdr:colOff>541020</xdr:colOff>
      <xdr:row>113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96"/>
  <sheetViews>
    <sheetView tabSelected="1" topLeftCell="A61" workbookViewId="0">
      <pane xSplit="3240" activePane="topRight"/>
      <selection activeCell="AE73" sqref="AE73"/>
      <selection pane="topRight" activeCell="G74" sqref="G74"/>
    </sheetView>
  </sheetViews>
  <sheetFormatPr defaultRowHeight="14.4"/>
  <cols>
    <col min="1" max="1" width="21.77734375" customWidth="1"/>
    <col min="2" max="2" width="14" customWidth="1"/>
    <col min="3" max="3" width="14.21875" customWidth="1"/>
  </cols>
  <sheetData>
    <row r="1" spans="1:4" ht="23.4">
      <c r="A1" s="1" t="s">
        <v>0</v>
      </c>
    </row>
    <row r="2" spans="1:4" ht="16.2" customHeight="1">
      <c r="A2" s="1"/>
    </row>
    <row r="3" spans="1:4">
      <c r="A3" t="s">
        <v>32</v>
      </c>
    </row>
    <row r="6" spans="1:4" ht="18">
      <c r="A6" s="3" t="s">
        <v>1</v>
      </c>
    </row>
    <row r="7" spans="1:4">
      <c r="B7" s="5" t="s">
        <v>7</v>
      </c>
      <c r="C7" s="5" t="s">
        <v>8</v>
      </c>
      <c r="D7" s="5" t="s">
        <v>11</v>
      </c>
    </row>
    <row r="8" spans="1:4">
      <c r="A8" t="s">
        <v>2</v>
      </c>
      <c r="B8" s="8">
        <v>0</v>
      </c>
      <c r="C8" s="7">
        <v>2612</v>
      </c>
      <c r="D8">
        <f>B8+C8</f>
        <v>2612</v>
      </c>
    </row>
    <row r="9" spans="1:4">
      <c r="A9" t="s">
        <v>3</v>
      </c>
      <c r="B9" s="8">
        <v>54414</v>
      </c>
      <c r="C9" s="7">
        <v>2949</v>
      </c>
      <c r="D9">
        <f t="shared" ref="D9:D12" si="0">B9+C9</f>
        <v>57363</v>
      </c>
    </row>
    <row r="10" spans="1:4">
      <c r="A10" t="s">
        <v>5</v>
      </c>
      <c r="B10" s="8">
        <v>29052</v>
      </c>
      <c r="C10" s="7">
        <v>2998</v>
      </c>
      <c r="D10">
        <f t="shared" si="0"/>
        <v>32050</v>
      </c>
    </row>
    <row r="11" spans="1:4">
      <c r="A11" t="s">
        <v>4</v>
      </c>
      <c r="B11" s="8">
        <v>13490</v>
      </c>
      <c r="C11" s="7">
        <v>2708</v>
      </c>
      <c r="D11">
        <f t="shared" si="0"/>
        <v>16198</v>
      </c>
    </row>
    <row r="12" spans="1:4">
      <c r="A12" s="2" t="s">
        <v>9</v>
      </c>
      <c r="B12" s="8">
        <v>7806</v>
      </c>
      <c r="C12" s="7">
        <v>2907</v>
      </c>
      <c r="D12">
        <f t="shared" si="0"/>
        <v>10713</v>
      </c>
    </row>
    <row r="13" spans="1:4">
      <c r="A13" t="s">
        <v>6</v>
      </c>
      <c r="B13" s="8">
        <v>6732</v>
      </c>
    </row>
    <row r="14" spans="1:4">
      <c r="A14" t="s">
        <v>10</v>
      </c>
      <c r="B14" s="8">
        <v>1074</v>
      </c>
    </row>
    <row r="19" spans="1:4" ht="18">
      <c r="A19" s="3" t="s">
        <v>12</v>
      </c>
    </row>
    <row r="20" spans="1:4">
      <c r="B20" s="5" t="s">
        <v>7</v>
      </c>
      <c r="C20" s="5" t="s">
        <v>8</v>
      </c>
      <c r="D20" s="5" t="s">
        <v>11</v>
      </c>
    </row>
    <row r="21" spans="1:4">
      <c r="A21" t="s">
        <v>2</v>
      </c>
      <c r="B21" s="8">
        <v>0</v>
      </c>
      <c r="C21" s="7">
        <v>2686</v>
      </c>
      <c r="D21">
        <f>B21+C21</f>
        <v>2686</v>
      </c>
    </row>
    <row r="22" spans="1:4">
      <c r="A22" t="s">
        <v>3</v>
      </c>
      <c r="B22" s="8">
        <v>54414</v>
      </c>
      <c r="C22" s="7">
        <v>2575</v>
      </c>
      <c r="D22">
        <f t="shared" ref="D22:D25" si="1">B22+C22</f>
        <v>56989</v>
      </c>
    </row>
    <row r="23" spans="1:4">
      <c r="A23" t="s">
        <v>5</v>
      </c>
      <c r="B23" s="8">
        <v>29052</v>
      </c>
      <c r="C23" s="7">
        <v>2948</v>
      </c>
      <c r="D23">
        <f t="shared" si="1"/>
        <v>32000</v>
      </c>
    </row>
    <row r="24" spans="1:4">
      <c r="A24" t="s">
        <v>4</v>
      </c>
      <c r="B24" s="8">
        <v>13490</v>
      </c>
      <c r="C24" s="7">
        <v>2705</v>
      </c>
      <c r="D24">
        <f t="shared" si="1"/>
        <v>16195</v>
      </c>
    </row>
    <row r="25" spans="1:4">
      <c r="A25" s="2" t="s">
        <v>9</v>
      </c>
      <c r="B25" s="8">
        <v>7806</v>
      </c>
      <c r="C25" s="7">
        <v>1979</v>
      </c>
      <c r="D25">
        <f t="shared" si="1"/>
        <v>9785</v>
      </c>
    </row>
    <row r="26" spans="1:4">
      <c r="A26" t="s">
        <v>6</v>
      </c>
      <c r="B26" s="8">
        <v>6732</v>
      </c>
    </row>
    <row r="27" spans="1:4">
      <c r="A27" t="s">
        <v>10</v>
      </c>
      <c r="B27" s="8">
        <v>1074</v>
      </c>
    </row>
    <row r="33" spans="1:8" ht="18">
      <c r="A33" s="3" t="s">
        <v>16</v>
      </c>
    </row>
    <row r="34" spans="1:8">
      <c r="B34" s="5" t="s">
        <v>7</v>
      </c>
      <c r="C34" s="5" t="s">
        <v>8</v>
      </c>
      <c r="D34" s="5" t="s">
        <v>11</v>
      </c>
    </row>
    <row r="35" spans="1:8">
      <c r="A35" t="s">
        <v>2</v>
      </c>
      <c r="B35" s="8">
        <v>0</v>
      </c>
      <c r="C35" s="7">
        <v>1233</v>
      </c>
      <c r="D35">
        <f>B35+C35</f>
        <v>1233</v>
      </c>
    </row>
    <row r="36" spans="1:8">
      <c r="A36" t="s">
        <v>3</v>
      </c>
      <c r="B36" s="8">
        <v>54414</v>
      </c>
      <c r="C36" s="7">
        <v>1371</v>
      </c>
      <c r="D36">
        <f t="shared" ref="D36:D39" si="2">B36+C36</f>
        <v>55785</v>
      </c>
    </row>
    <row r="37" spans="1:8">
      <c r="A37" t="s">
        <v>5</v>
      </c>
      <c r="B37" s="8">
        <v>29052</v>
      </c>
      <c r="C37" s="7">
        <v>1560</v>
      </c>
      <c r="D37">
        <f t="shared" si="2"/>
        <v>30612</v>
      </c>
    </row>
    <row r="38" spans="1:8">
      <c r="A38" t="s">
        <v>4</v>
      </c>
      <c r="B38" s="8">
        <v>13490</v>
      </c>
      <c r="C38" s="7">
        <v>1458</v>
      </c>
      <c r="D38">
        <f t="shared" si="2"/>
        <v>14948</v>
      </c>
    </row>
    <row r="39" spans="1:8">
      <c r="A39" s="2" t="s">
        <v>9</v>
      </c>
      <c r="B39" s="8">
        <v>7806</v>
      </c>
      <c r="C39" s="7">
        <v>1455</v>
      </c>
      <c r="D39">
        <f t="shared" si="2"/>
        <v>9261</v>
      </c>
    </row>
    <row r="40" spans="1:8">
      <c r="A40" t="s">
        <v>6</v>
      </c>
      <c r="B40" s="8">
        <v>6732</v>
      </c>
    </row>
    <row r="41" spans="1:8">
      <c r="A41" t="s">
        <v>10</v>
      </c>
      <c r="B41" s="8">
        <v>1074</v>
      </c>
    </row>
    <row r="42" spans="1:8">
      <c r="B42" s="8"/>
    </row>
    <row r="43" spans="1:8">
      <c r="B43" s="8"/>
    </row>
    <row r="44" spans="1:8">
      <c r="B44" s="8"/>
    </row>
    <row r="45" spans="1:8">
      <c r="B45" s="8"/>
    </row>
    <row r="47" spans="1:8">
      <c r="B47" s="2" t="s">
        <v>2</v>
      </c>
      <c r="C47" s="2" t="s">
        <v>4</v>
      </c>
      <c r="D47" s="2" t="s">
        <v>3</v>
      </c>
      <c r="E47" s="2" t="s">
        <v>5</v>
      </c>
      <c r="F47" s="2" t="s">
        <v>13</v>
      </c>
      <c r="G47" s="2" t="s">
        <v>14</v>
      </c>
      <c r="H47" s="2" t="s">
        <v>15</v>
      </c>
    </row>
    <row r="48" spans="1:8">
      <c r="A48" s="2" t="s">
        <v>1</v>
      </c>
      <c r="B48" s="7">
        <v>2612</v>
      </c>
      <c r="C48" s="7">
        <v>2708</v>
      </c>
      <c r="D48" s="7">
        <v>2949</v>
      </c>
      <c r="E48" s="7">
        <v>2998</v>
      </c>
      <c r="F48" s="7">
        <v>1644</v>
      </c>
      <c r="G48" s="7">
        <v>1263</v>
      </c>
      <c r="H48" s="7">
        <v>2907</v>
      </c>
    </row>
    <row r="49" spans="1:8">
      <c r="A49" s="2" t="s">
        <v>12</v>
      </c>
      <c r="B49" s="7">
        <v>2686</v>
      </c>
      <c r="C49" s="7">
        <v>2575</v>
      </c>
      <c r="D49" s="7">
        <v>2948</v>
      </c>
      <c r="E49" s="7">
        <v>2705</v>
      </c>
      <c r="F49" s="7">
        <v>832</v>
      </c>
      <c r="G49" s="7">
        <v>1147</v>
      </c>
      <c r="H49" s="7">
        <v>1979</v>
      </c>
    </row>
    <row r="50" spans="1:8">
      <c r="A50" s="2" t="s">
        <v>16</v>
      </c>
      <c r="B50" s="7">
        <v>1233</v>
      </c>
      <c r="C50" s="7">
        <v>1371</v>
      </c>
      <c r="D50" s="7">
        <v>1560</v>
      </c>
      <c r="E50" s="7">
        <v>1458</v>
      </c>
      <c r="F50" s="7">
        <v>632</v>
      </c>
      <c r="G50" s="7">
        <v>823</v>
      </c>
      <c r="H50" s="7">
        <v>1455</v>
      </c>
    </row>
    <row r="51" spans="1:8">
      <c r="A51" s="2" t="s">
        <v>11</v>
      </c>
      <c r="B51" s="10">
        <f>SUM(B48:B50)</f>
        <v>6531</v>
      </c>
      <c r="C51" s="10">
        <f t="shared" ref="C51:G51" si="3">SUM(C48:C50)</f>
        <v>6654</v>
      </c>
      <c r="D51" s="10">
        <f t="shared" si="3"/>
        <v>7457</v>
      </c>
      <c r="E51" s="10">
        <f t="shared" si="3"/>
        <v>7161</v>
      </c>
      <c r="F51" s="10">
        <f t="shared" si="3"/>
        <v>3108</v>
      </c>
      <c r="G51" s="10">
        <f t="shared" si="3"/>
        <v>3233</v>
      </c>
      <c r="H51" s="10">
        <f>SUM(H48:H50)</f>
        <v>6341</v>
      </c>
    </row>
    <row r="55" spans="1:8" ht="18">
      <c r="A55" s="3" t="s">
        <v>17</v>
      </c>
    </row>
    <row r="56" spans="1:8">
      <c r="B56" s="5" t="s">
        <v>18</v>
      </c>
      <c r="C56" s="5" t="s">
        <v>19</v>
      </c>
      <c r="D56" s="5" t="s">
        <v>11</v>
      </c>
    </row>
    <row r="57" spans="1:8">
      <c r="A57" t="s">
        <v>34</v>
      </c>
      <c r="B57" s="8">
        <v>0</v>
      </c>
      <c r="C57" s="7">
        <f>B51</f>
        <v>6531</v>
      </c>
      <c r="D57">
        <f>B57+C57</f>
        <v>6531</v>
      </c>
    </row>
    <row r="58" spans="1:8">
      <c r="A58" t="s">
        <v>3</v>
      </c>
      <c r="B58" s="8">
        <v>54414</v>
      </c>
      <c r="C58" s="7">
        <f>D51</f>
        <v>7457</v>
      </c>
      <c r="D58">
        <f>B58+C58</f>
        <v>61871</v>
      </c>
    </row>
    <row r="59" spans="1:8">
      <c r="A59" t="s">
        <v>5</v>
      </c>
      <c r="B59" s="8">
        <v>29052</v>
      </c>
      <c r="C59" s="7">
        <f>E51</f>
        <v>7161</v>
      </c>
      <c r="D59">
        <f>B59+C59</f>
        <v>36213</v>
      </c>
    </row>
    <row r="60" spans="1:8">
      <c r="A60" t="s">
        <v>4</v>
      </c>
      <c r="B60" s="8">
        <v>13490</v>
      </c>
      <c r="C60" s="7">
        <f>C51</f>
        <v>6654</v>
      </c>
      <c r="D60">
        <f>B60+C60</f>
        <v>20144</v>
      </c>
    </row>
    <row r="61" spans="1:8">
      <c r="A61" s="2" t="s">
        <v>15</v>
      </c>
      <c r="B61" s="8">
        <v>7806</v>
      </c>
      <c r="C61" s="7">
        <f>H51</f>
        <v>6341</v>
      </c>
      <c r="D61">
        <f>B61+C61</f>
        <v>14147</v>
      </c>
      <c r="F61" t="s">
        <v>33</v>
      </c>
    </row>
    <row r="62" spans="1:8">
      <c r="A62" t="s">
        <v>6</v>
      </c>
      <c r="B62" s="8">
        <v>6732</v>
      </c>
    </row>
    <row r="63" spans="1:8">
      <c r="A63" t="s">
        <v>10</v>
      </c>
      <c r="B63" s="8">
        <v>1074</v>
      </c>
    </row>
    <row r="86" spans="1:50">
      <c r="B86" s="20" t="s">
        <v>2</v>
      </c>
      <c r="C86" s="21"/>
      <c r="D86" s="21"/>
      <c r="E86" s="21"/>
      <c r="F86" s="21"/>
      <c r="G86" s="21"/>
      <c r="H86" s="22"/>
      <c r="I86" s="20" t="s">
        <v>4</v>
      </c>
      <c r="J86" s="21"/>
      <c r="K86" s="21"/>
      <c r="L86" s="21"/>
      <c r="M86" s="21"/>
      <c r="N86" s="21"/>
      <c r="O86" s="22"/>
      <c r="P86" s="20" t="s">
        <v>3</v>
      </c>
      <c r="Q86" s="21"/>
      <c r="R86" s="21"/>
      <c r="S86" s="21"/>
      <c r="T86" s="21"/>
      <c r="U86" s="21"/>
      <c r="V86" s="22"/>
      <c r="W86" s="20" t="s">
        <v>5</v>
      </c>
      <c r="X86" s="21"/>
      <c r="Y86" s="21"/>
      <c r="Z86" s="21"/>
      <c r="AA86" s="21"/>
      <c r="AB86" s="21"/>
      <c r="AC86" s="22"/>
      <c r="AD86" s="20" t="s">
        <v>21</v>
      </c>
      <c r="AE86" s="21"/>
      <c r="AF86" s="21"/>
      <c r="AG86" s="21"/>
      <c r="AH86" s="21"/>
      <c r="AI86" s="21"/>
      <c r="AJ86" s="22"/>
      <c r="AK86" s="20" t="s">
        <v>22</v>
      </c>
      <c r="AL86" s="21"/>
      <c r="AM86" s="21"/>
      <c r="AN86" s="21"/>
      <c r="AO86" s="21"/>
      <c r="AP86" s="21"/>
      <c r="AQ86" s="22"/>
      <c r="AR86" s="20" t="s">
        <v>23</v>
      </c>
      <c r="AS86" s="21"/>
      <c r="AT86" s="21"/>
      <c r="AU86" s="21"/>
      <c r="AV86" s="21"/>
      <c r="AW86" s="21"/>
      <c r="AX86" s="22"/>
    </row>
    <row r="87" spans="1:50">
      <c r="A87" s="2" t="s">
        <v>30</v>
      </c>
      <c r="B87" s="11" t="s">
        <v>24</v>
      </c>
      <c r="C87" s="12" t="s">
        <v>20</v>
      </c>
      <c r="D87" s="12" t="s">
        <v>25</v>
      </c>
      <c r="E87" s="12" t="s">
        <v>26</v>
      </c>
      <c r="F87" s="12" t="s">
        <v>27</v>
      </c>
      <c r="G87" s="12" t="s">
        <v>28</v>
      </c>
      <c r="H87" s="13" t="s">
        <v>29</v>
      </c>
      <c r="I87" s="11" t="s">
        <v>24</v>
      </c>
      <c r="J87" s="12" t="s">
        <v>20</v>
      </c>
      <c r="K87" s="12" t="s">
        <v>25</v>
      </c>
      <c r="L87" s="12" t="s">
        <v>26</v>
      </c>
      <c r="M87" s="12" t="s">
        <v>27</v>
      </c>
      <c r="N87" s="12" t="s">
        <v>28</v>
      </c>
      <c r="O87" s="13" t="s">
        <v>29</v>
      </c>
      <c r="P87" s="11" t="s">
        <v>24</v>
      </c>
      <c r="Q87" s="12" t="s">
        <v>20</v>
      </c>
      <c r="R87" s="12" t="s">
        <v>25</v>
      </c>
      <c r="S87" s="12" t="s">
        <v>26</v>
      </c>
      <c r="T87" s="12" t="s">
        <v>27</v>
      </c>
      <c r="U87" s="12" t="s">
        <v>28</v>
      </c>
      <c r="V87" s="13" t="s">
        <v>29</v>
      </c>
      <c r="W87" s="11" t="s">
        <v>24</v>
      </c>
      <c r="X87" s="12" t="s">
        <v>20</v>
      </c>
      <c r="Y87" s="12" t="s">
        <v>25</v>
      </c>
      <c r="Z87" s="12" t="s">
        <v>26</v>
      </c>
      <c r="AA87" s="12" t="s">
        <v>27</v>
      </c>
      <c r="AB87" s="12" t="s">
        <v>28</v>
      </c>
      <c r="AC87" s="13" t="s">
        <v>29</v>
      </c>
      <c r="AD87" s="11" t="s">
        <v>24</v>
      </c>
      <c r="AE87" s="12" t="s">
        <v>20</v>
      </c>
      <c r="AF87" s="12" t="s">
        <v>25</v>
      </c>
      <c r="AG87" s="12" t="s">
        <v>26</v>
      </c>
      <c r="AH87" s="12" t="s">
        <v>27</v>
      </c>
      <c r="AI87" s="12" t="s">
        <v>28</v>
      </c>
      <c r="AJ87" s="13" t="s">
        <v>29</v>
      </c>
      <c r="AK87" s="11" t="s">
        <v>24</v>
      </c>
      <c r="AL87" s="12" t="s">
        <v>20</v>
      </c>
      <c r="AM87" s="12" t="s">
        <v>25</v>
      </c>
      <c r="AN87" s="12" t="s">
        <v>26</v>
      </c>
      <c r="AO87" s="12" t="s">
        <v>27</v>
      </c>
      <c r="AP87" s="12" t="s">
        <v>28</v>
      </c>
      <c r="AQ87" s="13" t="s">
        <v>29</v>
      </c>
      <c r="AR87" s="11" t="s">
        <v>24</v>
      </c>
      <c r="AS87" s="12" t="s">
        <v>20</v>
      </c>
      <c r="AT87" s="12" t="s">
        <v>25</v>
      </c>
      <c r="AU87" s="12" t="s">
        <v>26</v>
      </c>
      <c r="AV87" s="12" t="s">
        <v>27</v>
      </c>
      <c r="AW87" s="12" t="s">
        <v>28</v>
      </c>
      <c r="AX87" s="13" t="s">
        <v>29</v>
      </c>
    </row>
    <row r="88" spans="1:50">
      <c r="A88" t="s">
        <v>1</v>
      </c>
      <c r="B88" s="6">
        <f>195+1205+357+662+193</f>
        <v>2612</v>
      </c>
      <c r="C88" s="15">
        <f>(2*1+133*2.09+39*2+52*2.34+21*1.952)/F88</f>
        <v>2.1078623481781373</v>
      </c>
      <c r="D88" s="7">
        <f>1+15+6+5+3</f>
        <v>30</v>
      </c>
      <c r="E88" s="7">
        <f>22+5+2+2</f>
        <v>31</v>
      </c>
      <c r="F88" s="7">
        <f>2+133+39+52+21</f>
        <v>247</v>
      </c>
      <c r="G88" s="7">
        <f>C88*B88</f>
        <v>5505.7364534412945</v>
      </c>
      <c r="H88" s="16"/>
      <c r="I88" s="6">
        <f>195+1205+357+662+238+51</f>
        <v>2708</v>
      </c>
      <c r="J88" s="15">
        <f>(2*1+133*2.09+39*2+52*2.34+16*1.95+2*4)/M88</f>
        <v>2.1264344262295078</v>
      </c>
      <c r="K88" s="7">
        <f>1+15+6+5+4+1</f>
        <v>32</v>
      </c>
      <c r="L88" s="7">
        <f>22+5+2+0</f>
        <v>29</v>
      </c>
      <c r="M88" s="7">
        <f>2+133+39+52+16+2</f>
        <v>244</v>
      </c>
      <c r="N88" s="7">
        <f>I88*J88</f>
        <v>5758.384426229507</v>
      </c>
      <c r="O88" s="16"/>
      <c r="P88" s="6">
        <f>195+1205+357+662+438+92</f>
        <v>2949</v>
      </c>
      <c r="Q88" s="15">
        <f>(2*1+133*2.09+39*2+52*2.34+5*2.679+2*6.5)/T88</f>
        <v>2.1718669527896992</v>
      </c>
      <c r="R88" s="7">
        <f>1+15+6+5+5+1</f>
        <v>33</v>
      </c>
      <c r="S88" s="7">
        <f>22+5+2+0</f>
        <v>29</v>
      </c>
      <c r="T88" s="7">
        <f>2+133+39+52+5+2</f>
        <v>233</v>
      </c>
      <c r="U88" s="7">
        <f>P88*Q88</f>
        <v>6404.8356437768234</v>
      </c>
      <c r="V88" s="16"/>
      <c r="W88" s="6">
        <f>195+1205+357+662+554+25</f>
        <v>2998</v>
      </c>
      <c r="X88" s="15">
        <f>(2*1+133*2.09+39*2+52*2.34+14*2.56+1*1.33)/AA88</f>
        <v>2.1444813278008299</v>
      </c>
      <c r="Y88" s="7">
        <f>1+15+6+5+8+1</f>
        <v>36</v>
      </c>
      <c r="Z88" s="7">
        <f>22+5+2+1</f>
        <v>30</v>
      </c>
      <c r="AA88" s="7">
        <f>2+133+39+52+14+1</f>
        <v>241</v>
      </c>
      <c r="AB88" s="7">
        <f>W88*X88</f>
        <v>6429.1550207468881</v>
      </c>
      <c r="AC88" s="16"/>
      <c r="AD88" s="6">
        <f>195+(24)+676+681+68</f>
        <v>1644</v>
      </c>
      <c r="AE88" s="15">
        <f>(63*1.98+97*1.45+4*2.5)/AH88</f>
        <v>1.6792073170731707</v>
      </c>
      <c r="AF88" s="7">
        <f>11+3</f>
        <v>14</v>
      </c>
      <c r="AG88" s="7">
        <v>22</v>
      </c>
      <c r="AH88" s="7">
        <v>164</v>
      </c>
      <c r="AI88" s="7">
        <f>AD88*AE88</f>
        <v>2760.6168292682928</v>
      </c>
      <c r="AJ88" s="16"/>
      <c r="AK88" s="4">
        <f>159+157+172+441+225+109+(19+33)</f>
        <v>1315</v>
      </c>
      <c r="AL88" s="14">
        <f>(16*1.44+14*2.28+12*3.5+49*2.16+21*2.05+11*2.09)/AO88</f>
        <v>2.1856910569105694</v>
      </c>
      <c r="AM88" s="9">
        <f>3+2+2+6+3+1</f>
        <v>17</v>
      </c>
      <c r="AN88" s="9">
        <f>2+1+0+1+0+0</f>
        <v>4</v>
      </c>
      <c r="AO88" s="9">
        <v>123</v>
      </c>
      <c r="AP88" s="9">
        <f>AK88*AL88</f>
        <v>2874.1837398373987</v>
      </c>
      <c r="AQ88" s="16"/>
      <c r="AR88" s="6">
        <f>AK88+AD88</f>
        <v>2959</v>
      </c>
      <c r="AS88" s="17">
        <f>SUM(AO88*AL88,AH88*AE88)/AV88</f>
        <v>1.8962717770034845</v>
      </c>
      <c r="AT88" s="6">
        <f t="shared" ref="AT88:AV90" si="4">AM88+AF88</f>
        <v>31</v>
      </c>
      <c r="AU88" s="6">
        <f t="shared" si="4"/>
        <v>26</v>
      </c>
      <c r="AV88" s="6">
        <f t="shared" si="4"/>
        <v>287</v>
      </c>
      <c r="AW88" s="7">
        <f>AS88*AR88</f>
        <v>5611.068188153311</v>
      </c>
      <c r="AX88" s="16"/>
    </row>
    <row r="89" spans="1:50">
      <c r="A89" t="s">
        <v>12</v>
      </c>
      <c r="B89" s="6">
        <f>141+484+272+267+926+322+274</f>
        <v>2686</v>
      </c>
      <c r="C89" s="15">
        <f>(48*1.94+42*1.16+17*2.82+85*1.94+21*3+30*2.567)/F89</f>
        <v>2.0357613168724278</v>
      </c>
      <c r="D89" s="7">
        <f>6+4+2+9+3+3</f>
        <v>27</v>
      </c>
      <c r="E89" s="7">
        <v>18</v>
      </c>
      <c r="F89" s="7">
        <f>48+42+17+85+21+30</f>
        <v>243</v>
      </c>
      <c r="G89" s="7">
        <f>B89*C89</f>
        <v>5468.0548971193411</v>
      </c>
      <c r="H89" s="16"/>
      <c r="I89" s="6">
        <f>141+484+272+267+926+434+51</f>
        <v>2575</v>
      </c>
      <c r="J89" s="15">
        <f>(48*1.94+42*1.16+17*2.82+85*1.94+16*2.9+2*4)/M89</f>
        <v>1.948</v>
      </c>
      <c r="K89" s="7">
        <f>6+4+2+9+4+1</f>
        <v>26</v>
      </c>
      <c r="L89" s="7">
        <v>16</v>
      </c>
      <c r="M89" s="7">
        <f>48+42+17+85+16+2</f>
        <v>210</v>
      </c>
      <c r="N89" s="7">
        <f>I89*J89</f>
        <v>5016.0999999999995</v>
      </c>
      <c r="O89" s="16"/>
      <c r="P89" s="6">
        <f>141+484+272+267+926+766+92</f>
        <v>2948</v>
      </c>
      <c r="Q89" s="15">
        <f>(48*1.94+42*1.16+17*2.82+85*1.94+55*2.54+2*6.5)/T89</f>
        <v>2.0376706827309237</v>
      </c>
      <c r="R89" s="7">
        <f>6+4+2+9+7+1</f>
        <v>29</v>
      </c>
      <c r="S89" s="7">
        <v>16</v>
      </c>
      <c r="T89" s="7">
        <f>48+42+17+85+55+2</f>
        <v>249</v>
      </c>
      <c r="U89" s="7">
        <f>P89*Q89</f>
        <v>6007.0531726907629</v>
      </c>
      <c r="V89" s="16"/>
      <c r="W89" s="6">
        <f>141+484+272+926+857+25</f>
        <v>2705</v>
      </c>
      <c r="X89" s="15">
        <f>(48*1.94+42*1.16+85*1.94+65*2.93+3*1.33)/AA89</f>
        <v>2.0624691358024694</v>
      </c>
      <c r="Y89" s="7">
        <f>1+6+4+9+8+1</f>
        <v>29</v>
      </c>
      <c r="Z89" s="7">
        <v>15</v>
      </c>
      <c r="AA89" s="7">
        <f>48+42+85+65+3</f>
        <v>243</v>
      </c>
      <c r="AB89" s="7">
        <f>W89*X89</f>
        <v>5578.9790123456796</v>
      </c>
      <c r="AC89" s="16"/>
      <c r="AD89" s="6">
        <f>141+623+68</f>
        <v>832</v>
      </c>
      <c r="AE89" s="15">
        <f>(58*1.98+4*2.5)/AH89</f>
        <v>2.0135483870967743</v>
      </c>
      <c r="AF89" s="7">
        <f>8+1</f>
        <v>9</v>
      </c>
      <c r="AG89" s="7">
        <v>11</v>
      </c>
      <c r="AH89" s="7">
        <v>62</v>
      </c>
      <c r="AI89" s="7">
        <f>AD89*AE89</f>
        <v>1675.2722580645163</v>
      </c>
      <c r="AJ89" s="16"/>
      <c r="AK89" s="6">
        <f>379+132+245+27+364</f>
        <v>1147</v>
      </c>
      <c r="AL89" s="7">
        <v>1.66</v>
      </c>
      <c r="AM89" s="7">
        <v>18</v>
      </c>
      <c r="AN89" s="7">
        <v>3</v>
      </c>
      <c r="AO89" s="7">
        <v>104</v>
      </c>
      <c r="AP89" s="7">
        <f>AK89*AL89</f>
        <v>1904.02</v>
      </c>
      <c r="AQ89" s="16"/>
      <c r="AR89" s="6">
        <f>AK89+AD89</f>
        <v>1979</v>
      </c>
      <c r="AS89" s="17">
        <f>AVERAGE(AL89,AE89)</f>
        <v>1.8367741935483872</v>
      </c>
      <c r="AT89" s="7">
        <f t="shared" si="4"/>
        <v>27</v>
      </c>
      <c r="AU89" s="7">
        <f t="shared" si="4"/>
        <v>14</v>
      </c>
      <c r="AV89" s="7">
        <f t="shared" si="4"/>
        <v>166</v>
      </c>
      <c r="AW89" s="7">
        <f>AR89*AS89</f>
        <v>3634.9761290322585</v>
      </c>
      <c r="AX89" s="18"/>
    </row>
    <row r="90" spans="1:50">
      <c r="A90" t="s">
        <v>16</v>
      </c>
      <c r="B90" s="6">
        <f>(79+210+118+172+66+70+319)+199</f>
        <v>1233</v>
      </c>
      <c r="C90" s="15">
        <f>((4*1+32*1.15+6*3.16+11*2.54+13*2.33+5*2+24*2.25)+(25*1.68))/F90</f>
        <v>1.8665833333333335</v>
      </c>
      <c r="D90" s="7">
        <f>(1+5+1+1+1+2+5)+5</f>
        <v>21</v>
      </c>
      <c r="E90" s="7">
        <f>(7+0+1+1+2+0+2)+0</f>
        <v>13</v>
      </c>
      <c r="F90" s="7">
        <f>((4+32+6+11+13+5+24)+(25))</f>
        <v>120</v>
      </c>
      <c r="G90" s="7">
        <f>B90*C90</f>
        <v>2301.4972500000003</v>
      </c>
      <c r="H90" s="16"/>
      <c r="I90" s="6">
        <f>(79+210+118+172+66+70+319)+286+51</f>
        <v>1371</v>
      </c>
      <c r="J90" s="15">
        <f>((4*1+32*1.15+6*3.16+11*2.54+13*2.33+5*2+24*2.25)+(6*1.8+2*4))/M90</f>
        <v>1.9494174757281555</v>
      </c>
      <c r="K90" s="7">
        <f>(1+5+1+1+1+2+5)+6+1</f>
        <v>23</v>
      </c>
      <c r="L90" s="7">
        <f>(7+0+1+1+2+0+2)+0+0</f>
        <v>13</v>
      </c>
      <c r="M90" s="7">
        <f>((4+32+6+11+13+5+24)+(6+2))</f>
        <v>103</v>
      </c>
      <c r="N90" s="7">
        <f>I90*J90</f>
        <v>2672.6513592233014</v>
      </c>
      <c r="O90" s="16"/>
      <c r="P90" s="6">
        <f>(79+210+118+172+66+70+319)+434+92</f>
        <v>1560</v>
      </c>
      <c r="Q90" s="15">
        <f>((4*1+32*1.15+6*3.16+11*2.54+13*2.33+5*2+24*2.25)+(27*2.18+2*6.5))/T90</f>
        <v>2.0471774193548389</v>
      </c>
      <c r="R90" s="7">
        <f>(1+5+1+1+1+2+5)+7+1</f>
        <v>24</v>
      </c>
      <c r="S90" s="7">
        <f>(7+0+1+1+2+0+2)+0+0</f>
        <v>13</v>
      </c>
      <c r="T90" s="7">
        <f>((4+32+6+11+13+5+24)+(27+2))</f>
        <v>124</v>
      </c>
      <c r="U90" s="7">
        <f>P90*Q90</f>
        <v>3193.5967741935488</v>
      </c>
      <c r="V90" s="16"/>
      <c r="W90" s="6">
        <f>(79+210+118+172+66+70+319)+399+25</f>
        <v>1458</v>
      </c>
      <c r="X90" s="15">
        <f>((4*1+32*1.15+6*3.16+11*2.54+13*2.33+5*2+24*2.25)+(34*2.05+3*2.33))/AA90</f>
        <v>1.9596969696969697</v>
      </c>
      <c r="Y90" s="7">
        <f>(1+5+1+1+1+2+5)+8+1</f>
        <v>25</v>
      </c>
      <c r="Z90" s="7">
        <f>(7+0+1+1+2+0+2)+1+0</f>
        <v>14</v>
      </c>
      <c r="AA90" s="7">
        <f>((4+32+6+11+13+5+24)+(34+3))</f>
        <v>132</v>
      </c>
      <c r="AB90" s="7">
        <f>W90*X90</f>
        <v>2857.2381818181821</v>
      </c>
      <c r="AC90" s="16"/>
      <c r="AD90" s="6">
        <f>(79+210)+275+68</f>
        <v>632</v>
      </c>
      <c r="AE90" s="15">
        <f>((4*1+32*1.15)+(22*2.09+4*2.5))/AH90</f>
        <v>1.5609677419354839</v>
      </c>
      <c r="AF90" s="7">
        <f>(1+5)+4+1</f>
        <v>11</v>
      </c>
      <c r="AG90" s="7">
        <v>7</v>
      </c>
      <c r="AH90" s="7">
        <f>(4+32)+22+4</f>
        <v>62</v>
      </c>
      <c r="AI90" s="7">
        <f>AD90*AE90</f>
        <v>986.53161290322589</v>
      </c>
      <c r="AJ90" s="16"/>
      <c r="AK90" s="4">
        <f>330+129+83+93+188+(19+33)</f>
        <v>875</v>
      </c>
      <c r="AL90" s="14">
        <f>(28*2.78+5*4+4*4.5+5*2+8*3.5+2*4)/AO90</f>
        <v>3.112307692307692</v>
      </c>
      <c r="AM90" s="9">
        <f>3+1+1+2+2</f>
        <v>9</v>
      </c>
      <c r="AN90" s="9">
        <f>0+0+0+1+0</f>
        <v>1</v>
      </c>
      <c r="AO90" s="9">
        <f>(28+5+4+5+8)+(2)</f>
        <v>52</v>
      </c>
      <c r="AP90" s="14">
        <f>AK90*AL90</f>
        <v>2723.2692307692305</v>
      </c>
      <c r="AQ90" s="16"/>
      <c r="AR90" s="6">
        <f>AD90+AK90</f>
        <v>1507</v>
      </c>
      <c r="AS90" s="15">
        <f>(AO90*AL90+AH90*AE90)/AV90</f>
        <v>2.2685964912280703</v>
      </c>
      <c r="AT90" s="7">
        <f t="shared" si="4"/>
        <v>20</v>
      </c>
      <c r="AU90" s="7">
        <f t="shared" si="4"/>
        <v>8</v>
      </c>
      <c r="AV90" s="7">
        <f t="shared" si="4"/>
        <v>114</v>
      </c>
      <c r="AW90" s="15">
        <f>AR90*AS90</f>
        <v>3418.7749122807018</v>
      </c>
      <c r="AX90" s="16"/>
    </row>
    <row r="93" spans="1:50">
      <c r="B93" s="2" t="s">
        <v>34</v>
      </c>
      <c r="C93" s="2" t="s">
        <v>4</v>
      </c>
      <c r="D93" s="2" t="s">
        <v>3</v>
      </c>
      <c r="E93" s="2" t="s">
        <v>31</v>
      </c>
      <c r="F93" s="2" t="s">
        <v>15</v>
      </c>
    </row>
    <row r="94" spans="1:50">
      <c r="A94" s="2" t="s">
        <v>1</v>
      </c>
      <c r="B94" s="19">
        <f>G88</f>
        <v>5505.7364534412945</v>
      </c>
      <c r="C94" s="19">
        <f>N88</f>
        <v>5758.384426229507</v>
      </c>
      <c r="D94" s="19">
        <f>U88</f>
        <v>6404.8356437768234</v>
      </c>
      <c r="E94" s="19">
        <f>AB88</f>
        <v>6429.1550207468881</v>
      </c>
      <c r="F94" s="19">
        <f>AW88</f>
        <v>5611.068188153311</v>
      </c>
    </row>
    <row r="95" spans="1:50">
      <c r="A95" s="2" t="s">
        <v>12</v>
      </c>
      <c r="B95" s="19">
        <f t="shared" ref="B95:B96" si="5">G89</f>
        <v>5468.0548971193411</v>
      </c>
      <c r="C95" s="19">
        <f t="shared" ref="C95:C96" si="6">N89</f>
        <v>5016.0999999999995</v>
      </c>
      <c r="D95" s="19">
        <f t="shared" ref="D95:D96" si="7">U89</f>
        <v>6007.0531726907629</v>
      </c>
      <c r="E95" s="19">
        <f t="shared" ref="E95:E96" si="8">AB89</f>
        <v>5578.9790123456796</v>
      </c>
      <c r="F95" s="19">
        <f t="shared" ref="F95:F96" si="9">AW89</f>
        <v>3634.9761290322585</v>
      </c>
    </row>
    <row r="96" spans="1:50">
      <c r="A96" s="2" t="s">
        <v>16</v>
      </c>
      <c r="B96" s="19">
        <f t="shared" si="5"/>
        <v>2301.4972500000003</v>
      </c>
      <c r="C96" s="19">
        <f t="shared" si="6"/>
        <v>2672.6513592233014</v>
      </c>
      <c r="D96" s="19">
        <f t="shared" si="7"/>
        <v>3193.5967741935488</v>
      </c>
      <c r="E96" s="19">
        <f t="shared" si="8"/>
        <v>2857.2381818181821</v>
      </c>
      <c r="F96" s="19">
        <f t="shared" si="9"/>
        <v>3418.7749122807018</v>
      </c>
    </row>
  </sheetData>
  <mergeCells count="7">
    <mergeCell ref="AR86:AX86"/>
    <mergeCell ref="B86:H86"/>
    <mergeCell ref="I86:O86"/>
    <mergeCell ref="P86:V86"/>
    <mergeCell ref="W86:AC86"/>
    <mergeCell ref="AD86:AJ86"/>
    <mergeCell ref="AK86:AQ86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cp:lastPrinted>2009-03-27T01:39:49Z</cp:lastPrinted>
  <dcterms:created xsi:type="dcterms:W3CDTF">2009-03-26T03:35:29Z</dcterms:created>
  <dcterms:modified xsi:type="dcterms:W3CDTF">2009-04-15T23:56:06Z</dcterms:modified>
</cp:coreProperties>
</file>