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132" windowWidth="5268" windowHeight="2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71" i="1"/>
  <c r="C68"/>
  <c r="I68"/>
  <c r="P65"/>
  <c r="Q68"/>
  <c r="P63" l="1"/>
  <c r="P64"/>
  <c r="P62"/>
  <c r="O63"/>
  <c r="O65"/>
  <c r="O62"/>
  <c r="AP8"/>
  <c r="AM8"/>
  <c r="AM11"/>
  <c r="AL8"/>
  <c r="C144" l="1"/>
  <c r="N66"/>
  <c r="D68" l="1"/>
  <c r="E68"/>
  <c r="F68"/>
  <c r="J68"/>
  <c r="K68"/>
  <c r="L68"/>
  <c r="B68"/>
  <c r="H64" l="1"/>
  <c r="N63"/>
  <c r="N64"/>
  <c r="N65"/>
  <c r="N62"/>
  <c r="G138"/>
  <c r="M63"/>
  <c r="M64"/>
  <c r="M65"/>
  <c r="M66"/>
  <c r="M62"/>
  <c r="G63"/>
  <c r="G64"/>
  <c r="G65"/>
  <c r="G66"/>
  <c r="G62"/>
  <c r="C138"/>
  <c r="D138"/>
  <c r="E138"/>
  <c r="F138"/>
  <c r="I138"/>
  <c r="H138"/>
  <c r="I85"/>
  <c r="H85"/>
  <c r="C82"/>
  <c r="D82"/>
  <c r="F82"/>
  <c r="E82"/>
  <c r="I82"/>
  <c r="H82"/>
  <c r="H86"/>
  <c r="C87"/>
  <c r="F87"/>
  <c r="H87"/>
  <c r="I88"/>
  <c r="I89"/>
  <c r="H90"/>
  <c r="D91"/>
  <c r="F91"/>
  <c r="E91"/>
  <c r="I91"/>
  <c r="H91"/>
  <c r="H83"/>
  <c r="H81"/>
  <c r="C81"/>
  <c r="H68" l="1"/>
  <c r="P68" s="1"/>
  <c r="O64"/>
  <c r="Q63"/>
  <c r="N68"/>
  <c r="G68"/>
  <c r="M68"/>
  <c r="Q66"/>
  <c r="Q64"/>
  <c r="H100"/>
  <c r="Q62"/>
  <c r="Q65"/>
  <c r="L276"/>
  <c r="L275"/>
  <c r="L274"/>
  <c r="H273"/>
  <c r="G273"/>
  <c r="H272"/>
  <c r="G272"/>
  <c r="L271"/>
  <c r="L270"/>
  <c r="L269"/>
  <c r="L268"/>
  <c r="H267"/>
  <c r="G267"/>
  <c r="L266"/>
  <c r="L264"/>
  <c r="H263"/>
  <c r="G263"/>
  <c r="L262"/>
  <c r="L261"/>
  <c r="H260"/>
  <c r="G260"/>
  <c r="H259"/>
  <c r="G259"/>
  <c r="L258"/>
  <c r="L257"/>
  <c r="H256"/>
  <c r="G256"/>
  <c r="H255"/>
  <c r="G255"/>
  <c r="L265" s="1"/>
  <c r="L253"/>
  <c r="H252"/>
  <c r="G252"/>
  <c r="H251"/>
  <c r="G251"/>
  <c r="H250"/>
  <c r="G250"/>
  <c r="H249"/>
  <c r="G249"/>
  <c r="K248"/>
  <c r="H248" s="1"/>
  <c r="G248"/>
  <c r="L247"/>
  <c r="K246"/>
  <c r="H246" s="1"/>
  <c r="G246"/>
  <c r="H245"/>
  <c r="G245"/>
  <c r="H244"/>
  <c r="G244"/>
  <c r="L254" s="1"/>
  <c r="L242"/>
  <c r="H241"/>
  <c r="G241"/>
  <c r="H240"/>
  <c r="G240"/>
  <c r="H239"/>
  <c r="G239"/>
  <c r="L238"/>
  <c r="H237"/>
  <c r="G237"/>
  <c r="L236"/>
  <c r="K235"/>
  <c r="H235" s="1"/>
  <c r="G235"/>
  <c r="H234"/>
  <c r="G234"/>
  <c r="H233"/>
  <c r="G233"/>
  <c r="L243" s="1"/>
  <c r="L231"/>
  <c r="H230"/>
  <c r="G230"/>
  <c r="H229"/>
  <c r="G229"/>
  <c r="H228"/>
  <c r="G228"/>
  <c r="H227"/>
  <c r="G227"/>
  <c r="H226"/>
  <c r="G226"/>
  <c r="L225"/>
  <c r="K224"/>
  <c r="H224" s="1"/>
  <c r="G224"/>
  <c r="K223"/>
  <c r="H223" s="1"/>
  <c r="G223"/>
  <c r="H222"/>
  <c r="G222"/>
  <c r="L232" s="1"/>
  <c r="H220"/>
  <c r="G220"/>
  <c r="H219"/>
  <c r="G219"/>
  <c r="H218"/>
  <c r="G218"/>
  <c r="H217"/>
  <c r="G217"/>
  <c r="L216"/>
  <c r="H215"/>
  <c r="G215"/>
  <c r="L221" s="1"/>
  <c r="L214"/>
  <c r="K213"/>
  <c r="H213" s="1"/>
  <c r="G213"/>
  <c r="H212"/>
  <c r="G212"/>
  <c r="L211"/>
  <c r="H123"/>
  <c r="G123"/>
  <c r="F123"/>
  <c r="E123"/>
  <c r="D123"/>
  <c r="C123"/>
  <c r="I123"/>
  <c r="G109"/>
  <c r="H109"/>
  <c r="I109"/>
  <c r="E109"/>
  <c r="F109"/>
  <c r="D109"/>
  <c r="C109"/>
  <c r="AN8"/>
  <c r="AO8"/>
  <c r="AV8" s="1"/>
  <c r="AG8"/>
  <c r="AI8"/>
  <c r="AF8" s="1"/>
  <c r="AF20" s="1"/>
  <c r="AT20" s="1"/>
  <c r="AE8"/>
  <c r="AA8"/>
  <c r="Z8"/>
  <c r="AB8"/>
  <c r="Y8" s="1"/>
  <c r="X8"/>
  <c r="S8"/>
  <c r="U8"/>
  <c r="R8" s="1"/>
  <c r="Q8"/>
  <c r="T8"/>
  <c r="M8"/>
  <c r="L8"/>
  <c r="N8"/>
  <c r="K8" s="1"/>
  <c r="J8"/>
  <c r="G8"/>
  <c r="F8"/>
  <c r="E8"/>
  <c r="C8"/>
  <c r="AM17"/>
  <c r="AL17"/>
  <c r="H89" s="1"/>
  <c r="AM16"/>
  <c r="AL16"/>
  <c r="H88" s="1"/>
  <c r="H99" s="1"/>
  <c r="AL11"/>
  <c r="H84" s="1"/>
  <c r="H96" s="1"/>
  <c r="AF11"/>
  <c r="AE11"/>
  <c r="I84" s="1"/>
  <c r="I96" s="1"/>
  <c r="D8" l="1"/>
  <c r="H92"/>
  <c r="H95"/>
  <c r="G96"/>
  <c r="H97"/>
  <c r="L246"/>
  <c r="L235"/>
  <c r="L213"/>
  <c r="L224"/>
  <c r="L226"/>
  <c r="L227"/>
  <c r="L228"/>
  <c r="L229"/>
  <c r="L230"/>
  <c r="L239"/>
  <c r="L240"/>
  <c r="L241"/>
  <c r="L272"/>
  <c r="L273"/>
  <c r="L256"/>
  <c r="L259"/>
  <c r="L260"/>
  <c r="L263"/>
  <c r="L217"/>
  <c r="L218"/>
  <c r="L219"/>
  <c r="L220"/>
  <c r="L223"/>
  <c r="L212"/>
  <c r="L234"/>
  <c r="L237"/>
  <c r="L245"/>
  <c r="L248"/>
  <c r="L249"/>
  <c r="L250"/>
  <c r="L251"/>
  <c r="L252"/>
  <c r="L267"/>
  <c r="L255"/>
  <c r="L244"/>
  <c r="L233"/>
  <c r="L222"/>
  <c r="L215"/>
  <c r="O8"/>
  <c r="AC8"/>
  <c r="V8"/>
  <c r="AQ8"/>
  <c r="AW8"/>
  <c r="AT8" s="1"/>
  <c r="AU8"/>
  <c r="D20"/>
  <c r="AJ8"/>
  <c r="K20"/>
  <c r="Y20"/>
  <c r="AS8"/>
  <c r="R20"/>
  <c r="AF18"/>
  <c r="AE18"/>
  <c r="I90" s="1"/>
  <c r="AF15"/>
  <c r="AE15"/>
  <c r="I87" s="1"/>
  <c r="AF14"/>
  <c r="AE14"/>
  <c r="I86" s="1"/>
  <c r="I99" s="1"/>
  <c r="G99" s="1"/>
  <c r="AF10"/>
  <c r="AE10"/>
  <c r="I81" s="1"/>
  <c r="Y18"/>
  <c r="X18"/>
  <c r="E90" s="1"/>
  <c r="Y17"/>
  <c r="X17"/>
  <c r="E89" s="1"/>
  <c r="Y15"/>
  <c r="X15"/>
  <c r="E87" s="1"/>
  <c r="Y11"/>
  <c r="X11"/>
  <c r="E84" s="1"/>
  <c r="Y10"/>
  <c r="X10"/>
  <c r="E81" s="1"/>
  <c r="Y16"/>
  <c r="X16"/>
  <c r="E88" s="1"/>
  <c r="AB14"/>
  <c r="X14"/>
  <c r="E86" s="1"/>
  <c r="E99" s="1"/>
  <c r="E95" s="1"/>
  <c r="Y14"/>
  <c r="K16"/>
  <c r="J16"/>
  <c r="D88" s="1"/>
  <c r="R16"/>
  <c r="Q16"/>
  <c r="F88" s="1"/>
  <c r="R18"/>
  <c r="Q18"/>
  <c r="F90" s="1"/>
  <c r="R17"/>
  <c r="Q17"/>
  <c r="F89" s="1"/>
  <c r="R11"/>
  <c r="Q11"/>
  <c r="F84" s="1"/>
  <c r="R10"/>
  <c r="Q10"/>
  <c r="F81" s="1"/>
  <c r="R14"/>
  <c r="Q14"/>
  <c r="F86" s="1"/>
  <c r="F99" s="1"/>
  <c r="F95" s="1"/>
  <c r="N11"/>
  <c r="K11" s="1"/>
  <c r="J11"/>
  <c r="D84" s="1"/>
  <c r="K18"/>
  <c r="J18"/>
  <c r="D90" s="1"/>
  <c r="K17"/>
  <c r="J17"/>
  <c r="D89" s="1"/>
  <c r="K15"/>
  <c r="J15"/>
  <c r="D87" s="1"/>
  <c r="K10"/>
  <c r="J10"/>
  <c r="D81" s="1"/>
  <c r="K14"/>
  <c r="J14"/>
  <c r="D86" s="1"/>
  <c r="D99" s="1"/>
  <c r="D95" s="1"/>
  <c r="D19"/>
  <c r="C19"/>
  <c r="D18"/>
  <c r="C18"/>
  <c r="D17"/>
  <c r="C17"/>
  <c r="D16"/>
  <c r="C16"/>
  <c r="D14"/>
  <c r="C14"/>
  <c r="D11"/>
  <c r="C11"/>
  <c r="H8" l="1"/>
  <c r="C84"/>
  <c r="C86"/>
  <c r="C88"/>
  <c r="C89"/>
  <c r="C90"/>
  <c r="C91"/>
  <c r="I95"/>
  <c r="G95" s="1"/>
  <c r="V14"/>
  <c r="AX8"/>
  <c r="AB12"/>
  <c r="Y12" s="1"/>
  <c r="U12"/>
  <c r="R12" s="1"/>
  <c r="N12"/>
  <c r="K12" s="1"/>
  <c r="G12"/>
  <c r="C12"/>
  <c r="AT11"/>
  <c r="AS15"/>
  <c r="G87" s="1"/>
  <c r="AW10"/>
  <c r="AW11"/>
  <c r="AW12"/>
  <c r="AW13"/>
  <c r="AW14"/>
  <c r="AW15"/>
  <c r="AW16"/>
  <c r="AW17"/>
  <c r="AW18"/>
  <c r="AW19"/>
  <c r="AV10"/>
  <c r="AV11"/>
  <c r="AV12"/>
  <c r="AV13"/>
  <c r="AV14"/>
  <c r="AV15"/>
  <c r="AV16"/>
  <c r="AV17"/>
  <c r="AV18"/>
  <c r="AV19"/>
  <c r="AU11"/>
  <c r="AU12"/>
  <c r="AU13"/>
  <c r="AU14"/>
  <c r="AU15"/>
  <c r="AU16"/>
  <c r="AU17"/>
  <c r="AU18"/>
  <c r="AU19"/>
  <c r="AU10"/>
  <c r="AT12"/>
  <c r="AT13"/>
  <c r="AT14"/>
  <c r="AT15"/>
  <c r="AT16"/>
  <c r="AT17"/>
  <c r="AT18"/>
  <c r="AT19"/>
  <c r="AT10"/>
  <c r="AS11"/>
  <c r="G84" s="1"/>
  <c r="AS12"/>
  <c r="G85" s="1"/>
  <c r="AS13"/>
  <c r="AS14"/>
  <c r="G86" s="1"/>
  <c r="AS16"/>
  <c r="G88" s="1"/>
  <c r="AS17"/>
  <c r="G89" s="1"/>
  <c r="AS18"/>
  <c r="G90" s="1"/>
  <c r="AS19"/>
  <c r="G91" s="1"/>
  <c r="AS10"/>
  <c r="G81" s="1"/>
  <c r="D12" l="1"/>
  <c r="C99"/>
  <c r="C95" s="1"/>
  <c r="C85"/>
  <c r="C96" s="1"/>
  <c r="G82"/>
  <c r="X12"/>
  <c r="E85" s="1"/>
  <c r="E96" s="1"/>
  <c r="J12"/>
  <c r="D85" s="1"/>
  <c r="D96" s="1"/>
  <c r="Q12"/>
  <c r="F85" s="1"/>
  <c r="F96" s="1"/>
  <c r="F115"/>
  <c r="AX16"/>
  <c r="AX14"/>
  <c r="AX13"/>
  <c r="AX11"/>
  <c r="AX19"/>
  <c r="AX18"/>
  <c r="AX17"/>
  <c r="AX15"/>
  <c r="AX12"/>
  <c r="AX10"/>
  <c r="AJ16"/>
  <c r="AJ15"/>
  <c r="H18"/>
  <c r="AJ10"/>
  <c r="AQ19"/>
  <c r="AQ18"/>
  <c r="AQ17"/>
  <c r="AQ16"/>
  <c r="AQ15"/>
  <c r="AQ14"/>
  <c r="AQ20"/>
  <c r="AQ13"/>
  <c r="AQ12"/>
  <c r="AQ11"/>
  <c r="AQ10"/>
  <c r="AJ12"/>
  <c r="AJ11"/>
  <c r="AJ13"/>
  <c r="AJ14"/>
  <c r="AJ17"/>
  <c r="AJ18"/>
  <c r="AJ19"/>
  <c r="AC15"/>
  <c r="AC11"/>
  <c r="AC19"/>
  <c r="AC17"/>
  <c r="AC13"/>
  <c r="V15"/>
  <c r="V10"/>
  <c r="O11"/>
  <c r="D114" s="1"/>
  <c r="O18"/>
  <c r="D119" s="1"/>
  <c r="H15"/>
  <c r="O15"/>
  <c r="D116" s="1"/>
  <c r="V19"/>
  <c r="V17"/>
  <c r="V13"/>
  <c r="V11"/>
  <c r="O13"/>
  <c r="D110" s="1"/>
  <c r="O14"/>
  <c r="D115" s="1"/>
  <c r="O17"/>
  <c r="D118" s="1"/>
  <c r="O19"/>
  <c r="D120" s="1"/>
  <c r="O10"/>
  <c r="O16"/>
  <c r="D117" s="1"/>
  <c r="H16"/>
  <c r="H12"/>
  <c r="H11"/>
  <c r="H13"/>
  <c r="H17"/>
  <c r="H10"/>
  <c r="H19"/>
  <c r="H14"/>
  <c r="C115" l="1"/>
  <c r="C110"/>
  <c r="C120"/>
  <c r="C118"/>
  <c r="C114"/>
  <c r="C117"/>
  <c r="C116"/>
  <c r="C111"/>
  <c r="C113"/>
  <c r="C140" s="1"/>
  <c r="C119"/>
  <c r="D139"/>
  <c r="V12"/>
  <c r="F113" s="1"/>
  <c r="AC12"/>
  <c r="O12"/>
  <c r="D113" s="1"/>
  <c r="D140" s="1"/>
  <c r="F118"/>
  <c r="F116"/>
  <c r="E110"/>
  <c r="E120"/>
  <c r="E116"/>
  <c r="I119"/>
  <c r="I115"/>
  <c r="I110"/>
  <c r="I113"/>
  <c r="H114"/>
  <c r="H110"/>
  <c r="H115"/>
  <c r="H117"/>
  <c r="H119"/>
  <c r="G119" s="1"/>
  <c r="I116"/>
  <c r="F114"/>
  <c r="F110"/>
  <c r="F120"/>
  <c r="E113"/>
  <c r="E118"/>
  <c r="E114"/>
  <c r="I120"/>
  <c r="G120" s="1"/>
  <c r="I118"/>
  <c r="I114"/>
  <c r="H113"/>
  <c r="G113" s="1"/>
  <c r="H112"/>
  <c r="H116"/>
  <c r="G116" s="1"/>
  <c r="H118"/>
  <c r="I117"/>
  <c r="D111"/>
  <c r="I111"/>
  <c r="F111"/>
  <c r="H111"/>
  <c r="G111" s="1"/>
  <c r="AQ22"/>
  <c r="AR12" s="1"/>
  <c r="AC18"/>
  <c r="AC14"/>
  <c r="AC10"/>
  <c r="AC16"/>
  <c r="V18"/>
  <c r="V16"/>
  <c r="G118" l="1"/>
  <c r="C139"/>
  <c r="C142" s="1"/>
  <c r="G117"/>
  <c r="G110"/>
  <c r="K110" s="1"/>
  <c r="H139"/>
  <c r="G115"/>
  <c r="G114"/>
  <c r="H141"/>
  <c r="H142"/>
  <c r="D142"/>
  <c r="H140"/>
  <c r="K120"/>
  <c r="K118"/>
  <c r="I139"/>
  <c r="I140"/>
  <c r="K114"/>
  <c r="E140"/>
  <c r="F140"/>
  <c r="K113"/>
  <c r="K116"/>
  <c r="AR10"/>
  <c r="H125" s="1"/>
  <c r="AR19"/>
  <c r="H130" s="1"/>
  <c r="AR17"/>
  <c r="H133" s="1"/>
  <c r="AR15"/>
  <c r="H129" s="1"/>
  <c r="AR20"/>
  <c r="H126" s="1"/>
  <c r="F117"/>
  <c r="E117"/>
  <c r="E119"/>
  <c r="F119"/>
  <c r="E115"/>
  <c r="M266"/>
  <c r="M271"/>
  <c r="M268"/>
  <c r="M272"/>
  <c r="M274"/>
  <c r="M269"/>
  <c r="M275"/>
  <c r="M270"/>
  <c r="M273"/>
  <c r="M276"/>
  <c r="M267"/>
  <c r="AR18"/>
  <c r="H132" s="1"/>
  <c r="AR16"/>
  <c r="H134" s="1"/>
  <c r="AR14"/>
  <c r="H131" s="1"/>
  <c r="AR13"/>
  <c r="H124" s="1"/>
  <c r="AR11"/>
  <c r="H128" s="1"/>
  <c r="E111"/>
  <c r="K111" s="1"/>
  <c r="H127"/>
  <c r="K115" l="1"/>
  <c r="I142"/>
  <c r="G140"/>
  <c r="G139"/>
  <c r="K119"/>
  <c r="F139"/>
  <c r="E139"/>
  <c r="K117"/>
  <c r="H135"/>
  <c r="AR22"/>
  <c r="E142" l="1"/>
  <c r="G142"/>
  <c r="F142"/>
  <c r="J20"/>
  <c r="AE20"/>
  <c r="Q20"/>
  <c r="X20"/>
  <c r="C20"/>
  <c r="C83" l="1"/>
  <c r="H20"/>
  <c r="AC20"/>
  <c r="AC22" s="1"/>
  <c r="E83"/>
  <c r="AJ20"/>
  <c r="AJ22" s="1"/>
  <c r="I83"/>
  <c r="V20"/>
  <c r="F112" s="1"/>
  <c r="F141" s="1"/>
  <c r="F83"/>
  <c r="O20"/>
  <c r="O22" s="1"/>
  <c r="M228" s="1"/>
  <c r="D83"/>
  <c r="AS20"/>
  <c r="H22"/>
  <c r="E112" l="1"/>
  <c r="E141" s="1"/>
  <c r="C100"/>
  <c r="C97" s="1"/>
  <c r="C92"/>
  <c r="D100"/>
  <c r="D97" s="1"/>
  <c r="D92"/>
  <c r="F100"/>
  <c r="F97" s="1"/>
  <c r="F92"/>
  <c r="I100"/>
  <c r="G100" s="1"/>
  <c r="I92"/>
  <c r="E100"/>
  <c r="E97" s="1"/>
  <c r="E92"/>
  <c r="C112"/>
  <c r="C141" s="1"/>
  <c r="M225"/>
  <c r="P20"/>
  <c r="D126" s="1"/>
  <c r="P16"/>
  <c r="D134" s="1"/>
  <c r="P19"/>
  <c r="D130" s="1"/>
  <c r="M222"/>
  <c r="M224"/>
  <c r="V22"/>
  <c r="W20" s="1"/>
  <c r="F126" s="1"/>
  <c r="I112"/>
  <c r="P13"/>
  <c r="D124" s="1"/>
  <c r="P14"/>
  <c r="D131" s="1"/>
  <c r="M230"/>
  <c r="P12"/>
  <c r="D127" s="1"/>
  <c r="M223"/>
  <c r="M227"/>
  <c r="AX20"/>
  <c r="G83"/>
  <c r="G92" s="1"/>
  <c r="D112"/>
  <c r="D141" s="1"/>
  <c r="P18"/>
  <c r="D132" s="1"/>
  <c r="P11"/>
  <c r="D128" s="1"/>
  <c r="P10"/>
  <c r="D125" s="1"/>
  <c r="M232"/>
  <c r="M229"/>
  <c r="M226"/>
  <c r="P17"/>
  <c r="D133" s="1"/>
  <c r="P15"/>
  <c r="D129" s="1"/>
  <c r="M231"/>
  <c r="AX22"/>
  <c r="AY20" s="1"/>
  <c r="G126" s="1"/>
  <c r="M214"/>
  <c r="M217"/>
  <c r="M212"/>
  <c r="M220"/>
  <c r="M216"/>
  <c r="I14"/>
  <c r="C131" s="1"/>
  <c r="M213"/>
  <c r="M215"/>
  <c r="M218"/>
  <c r="M219"/>
  <c r="M211"/>
  <c r="M221"/>
  <c r="I10"/>
  <c r="I18"/>
  <c r="C132" s="1"/>
  <c r="I13"/>
  <c r="C124" s="1"/>
  <c r="I12"/>
  <c r="C127" s="1"/>
  <c r="I19"/>
  <c r="C130" s="1"/>
  <c r="I15"/>
  <c r="C129" s="1"/>
  <c r="I17"/>
  <c r="C133" s="1"/>
  <c r="I11"/>
  <c r="C128" s="1"/>
  <c r="I16"/>
  <c r="C134" s="1"/>
  <c r="M259"/>
  <c r="M263"/>
  <c r="M258"/>
  <c r="M264"/>
  <c r="M265"/>
  <c r="M260"/>
  <c r="AK17"/>
  <c r="I133" s="1"/>
  <c r="M257"/>
  <c r="M261"/>
  <c r="M255"/>
  <c r="M256"/>
  <c r="M262"/>
  <c r="AK15"/>
  <c r="I129" s="1"/>
  <c r="AK18"/>
  <c r="I132" s="1"/>
  <c r="AK14"/>
  <c r="I131" s="1"/>
  <c r="AK10"/>
  <c r="AK12"/>
  <c r="I127" s="1"/>
  <c r="AK16"/>
  <c r="I134" s="1"/>
  <c r="AK19"/>
  <c r="I130" s="1"/>
  <c r="AK11"/>
  <c r="I128" s="1"/>
  <c r="AK13"/>
  <c r="I124" s="1"/>
  <c r="I20"/>
  <c r="C126" s="1"/>
  <c r="AK20"/>
  <c r="I126" s="1"/>
  <c r="W19"/>
  <c r="F130" s="1"/>
  <c r="M253"/>
  <c r="M247"/>
  <c r="M248"/>
  <c r="M251"/>
  <c r="M246"/>
  <c r="M249"/>
  <c r="M250"/>
  <c r="M245"/>
  <c r="M254"/>
  <c r="M252"/>
  <c r="M244"/>
  <c r="AD14"/>
  <c r="E131" s="1"/>
  <c r="AD17"/>
  <c r="E133" s="1"/>
  <c r="AD10"/>
  <c r="AD18"/>
  <c r="E132" s="1"/>
  <c r="AD19"/>
  <c r="E130" s="1"/>
  <c r="AD12"/>
  <c r="E127" s="1"/>
  <c r="AD11"/>
  <c r="E128" s="1"/>
  <c r="AD16"/>
  <c r="E134" s="1"/>
  <c r="AD15"/>
  <c r="E129" s="1"/>
  <c r="AD13"/>
  <c r="E124" s="1"/>
  <c r="AD20"/>
  <c r="E126" s="1"/>
  <c r="I141" l="1"/>
  <c r="G112"/>
  <c r="I97"/>
  <c r="G97" s="1"/>
  <c r="M242"/>
  <c r="W16"/>
  <c r="F134" s="1"/>
  <c r="M240"/>
  <c r="M238"/>
  <c r="W13"/>
  <c r="F124" s="1"/>
  <c r="W18"/>
  <c r="F132" s="1"/>
  <c r="W15"/>
  <c r="F129" s="1"/>
  <c r="M235"/>
  <c r="M239"/>
  <c r="M241"/>
  <c r="G141"/>
  <c r="P22"/>
  <c r="W17"/>
  <c r="F133" s="1"/>
  <c r="W14"/>
  <c r="F131" s="1"/>
  <c r="W10"/>
  <c r="W11"/>
  <c r="F128" s="1"/>
  <c r="W12"/>
  <c r="F127" s="1"/>
  <c r="M237"/>
  <c r="M243"/>
  <c r="M234"/>
  <c r="M236"/>
  <c r="M233"/>
  <c r="AY19"/>
  <c r="G130" s="1"/>
  <c r="D135"/>
  <c r="K112"/>
  <c r="K121" s="1"/>
  <c r="AY10"/>
  <c r="AY18"/>
  <c r="G132" s="1"/>
  <c r="AY17"/>
  <c r="G133" s="1"/>
  <c r="AY15"/>
  <c r="G129" s="1"/>
  <c r="K129" s="1"/>
  <c r="AY13"/>
  <c r="G124" s="1"/>
  <c r="AY11"/>
  <c r="G128" s="1"/>
  <c r="AY14"/>
  <c r="G131" s="1"/>
  <c r="AY12"/>
  <c r="G127" s="1"/>
  <c r="K127" s="1"/>
  <c r="AY16"/>
  <c r="G134" s="1"/>
  <c r="K134" s="1"/>
  <c r="F125"/>
  <c r="AD22"/>
  <c r="E125"/>
  <c r="E135" s="1"/>
  <c r="I125"/>
  <c r="I135" s="1"/>
  <c r="AK22"/>
  <c r="I22"/>
  <c r="C125"/>
  <c r="K126"/>
  <c r="K130"/>
  <c r="G125"/>
  <c r="K124" l="1"/>
  <c r="K132"/>
  <c r="K131"/>
  <c r="F135"/>
  <c r="K128"/>
  <c r="W22"/>
  <c r="K133"/>
  <c r="G135"/>
  <c r="AY22"/>
  <c r="K125"/>
  <c r="C135"/>
</calcChain>
</file>

<file path=xl/comments1.xml><?xml version="1.0" encoding="utf-8"?>
<comments xmlns="http://schemas.openxmlformats.org/spreadsheetml/2006/main">
  <authors>
    <author>Roberto Silveira Silva Filho</author>
  </authors>
  <commentList>
    <comment ref="AL18" authorId="0">
      <text>
        <r>
          <rPr>
            <b/>
            <sz val="9"/>
            <color indexed="81"/>
            <rFont val="Tahoma"/>
            <family val="2"/>
          </rPr>
          <t>Roberto Silveira Silva Filho:</t>
        </r>
        <r>
          <rPr>
            <sz val="9"/>
            <color indexed="81"/>
            <rFont val="Tahoma"/>
            <family val="2"/>
          </rPr>
          <t xml:space="preserve">
We used to count he SwitcherSubscription here, but since we reuse it, we do not count anymore</t>
        </r>
      </text>
    </comment>
    <comment ref="H120" authorId="0">
      <text>
        <r>
          <rPr>
            <b/>
            <sz val="9"/>
            <color indexed="81"/>
            <rFont val="Tahoma"/>
            <family val="2"/>
          </rPr>
          <t>Roberto Silveira Silva Filho:</t>
        </r>
        <r>
          <rPr>
            <sz val="9"/>
            <color indexed="81"/>
            <rFont val="Tahoma"/>
            <family val="2"/>
          </rPr>
          <t xml:space="preserve">
used to be = AQ19, se set it to 0 (reusing content-based core)</t>
        </r>
      </text>
    </comment>
  </commentList>
</comments>
</file>

<file path=xl/sharedStrings.xml><?xml version="1.0" encoding="utf-8"?>
<sst xmlns="http://schemas.openxmlformats.org/spreadsheetml/2006/main" count="606" uniqueCount="103">
  <si>
    <t>CONCERN</t>
  </si>
  <si>
    <t>LOC</t>
  </si>
  <si>
    <t>CC</t>
  </si>
  <si>
    <t>#Classes</t>
  </si>
  <si>
    <t>#Methods</t>
  </si>
  <si>
    <t>Adaptation</t>
  </si>
  <si>
    <t>Factory</t>
  </si>
  <si>
    <t>Glue</t>
  </si>
  <si>
    <t>Event</t>
  </si>
  <si>
    <t>Notification</t>
  </si>
  <si>
    <t>Publication</t>
  </si>
  <si>
    <t>Subscription</t>
  </si>
  <si>
    <t>Routing</t>
  </si>
  <si>
    <t>BFS</t>
  </si>
  <si>
    <t>INFRASTRUCTURE</t>
  </si>
  <si>
    <t>#Interf</t>
  </si>
  <si>
    <t>LOC*CC</t>
  </si>
  <si>
    <t>TOTAL</t>
  </si>
  <si>
    <t>Percent</t>
  </si>
  <si>
    <t>Siena</t>
  </si>
  <si>
    <t>Common code is marked in bold.</t>
  </si>
  <si>
    <t>Conf &amp; Connect</t>
  </si>
  <si>
    <t>CORBA-NS</t>
  </si>
  <si>
    <t>JavaSpaces</t>
  </si>
  <si>
    <t>Protocol (TS)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</si>
  <si>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</si>
  <si>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</si>
  <si>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</si>
  <si>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</si>
  <si>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</si>
  <si>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</si>
  <si>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</si>
  <si>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</si>
  <si>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</si>
  <si>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</si>
  <si>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</si>
  <si>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High adaptation here comes from the fact that the subscriptions are</t>
  </si>
  <si>
    <t>represented as XML, requiring parsing from the API that uses Objects.</t>
  </si>
  <si>
    <t>In this native case, subscription is combined with parsing</t>
  </si>
  <si>
    <t>In the JavaSpaces example, the model manipulation protocol is</t>
  </si>
  <si>
    <t>not based on the tuple space</t>
  </si>
  <si>
    <t xml:space="preserve">Adaptation costs are non-zero here since we do our own parsing </t>
  </si>
  <si>
    <t>from CASSIUS language to YANCEES Filter/Constraint core.</t>
  </si>
  <si>
    <t>IMPROMPTU Benchmark Concern Analysis</t>
  </si>
  <si>
    <t>Proj Total</t>
  </si>
  <si>
    <t>Is the rest of the code except the concerns we measured. For example, iterfaces, constructors and others.</t>
  </si>
  <si>
    <t>Thread &amp; Distrib.</t>
  </si>
  <si>
    <t>Total</t>
  </si>
  <si>
    <t>YANCEES (Server)</t>
  </si>
  <si>
    <t>YANCEES (Client)</t>
  </si>
  <si>
    <t>YANCEES (Client+Server)</t>
  </si>
  <si>
    <t>Benchmark</t>
  </si>
  <si>
    <t>Infrastructure</t>
  </si>
  <si>
    <t>Side</t>
  </si>
  <si>
    <t>Type</t>
  </si>
  <si>
    <t>Ratio</t>
  </si>
  <si>
    <t>STRING</t>
  </si>
  <si>
    <t>INTEGER</t>
  </si>
  <si>
    <t>FLOAT</t>
  </si>
  <si>
    <t>Server</t>
  </si>
  <si>
    <t>Accidental</t>
  </si>
  <si>
    <t>Thread &amp; Distrib</t>
  </si>
  <si>
    <t>Essential</t>
  </si>
  <si>
    <t>YANCEES</t>
  </si>
  <si>
    <t>Client</t>
  </si>
  <si>
    <t>IMPROMPTU</t>
  </si>
  <si>
    <t>Protocol</t>
  </si>
  <si>
    <t>Middleware</t>
  </si>
  <si>
    <t>Domain</t>
  </si>
  <si>
    <t>Concern</t>
  </si>
  <si>
    <t>YANCEES(Client)</t>
  </si>
  <si>
    <t>YANCEES(Server)</t>
  </si>
  <si>
    <t>YANCEES(Client+Server)</t>
  </si>
  <si>
    <t>Reusability effort considering CC and LOC in the formula LOC*CC</t>
  </si>
  <si>
    <t>Compilation of all the metrics in the form readable by the treemap visualization</t>
  </si>
  <si>
    <t>Topic Routing</t>
  </si>
  <si>
    <t>subtracted the topic cost</t>
  </si>
  <si>
    <t>Component</t>
  </si>
  <si>
    <t>DuplicatesFilter</t>
  </si>
  <si>
    <t>JMDNS</t>
  </si>
  <si>
    <t>PeerEventReceiver</t>
  </si>
  <si>
    <t>PublishToPeers</t>
  </si>
  <si>
    <t>Topic Core</t>
  </si>
  <si>
    <t>Server-side</t>
  </si>
  <si>
    <t>Reuse Effort considering only LOC</t>
  </si>
  <si>
    <t>Gross Domain</t>
  </si>
  <si>
    <t>Gross Adaptation</t>
  </si>
  <si>
    <t>bold implies adjusted adaptation costs considering the adaptatio rate of impromptu</t>
  </si>
  <si>
    <t>LOC*CC (reusing Switcher and SwitcherSubscription)</t>
  </si>
  <si>
    <t xml:space="preserve">LOC*CC </t>
  </si>
  <si>
    <t>add adaptation cost</t>
  </si>
  <si>
    <t>substracted adaptation cost</t>
  </si>
  <si>
    <t>Domain (reusing CB core)</t>
  </si>
  <si>
    <t>LOC Difference</t>
  </si>
  <si>
    <t>The large size of TOPIC CORE in YANCEES is due to the parsiong of XML subscriptions. Hence, we prefer to reuse the existing content-based core.</t>
  </si>
  <si>
    <t>The difference in LOC of YANCEES and BFS plug-ins is mainly due to the implementation of plug-in interface and the need for Factories in YANCEES, which adds extra methods and classes. This difference is about 10%</t>
  </si>
  <si>
    <t>YANCEES Server Factory</t>
  </si>
  <si>
    <t>is the cost for 1 factory plugin</t>
  </si>
  <si>
    <t>YANCEES (Cli.+Serv.)</t>
  </si>
  <si>
    <t>LOC Rat</t>
  </si>
  <si>
    <t>CC Rat</t>
  </si>
  <si>
    <t>IMPROMPTU: YANCEES vs BFS: Analysis of Individual components, and their size differences</t>
  </si>
  <si>
    <t>CC Ratio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</si>
</sst>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0" fontId="1" fillId="0" borderId="4" xfId="0" applyFont="1" applyBorder="1"/>
    <xf numFmtId="2" fontId="1" fillId="0" borderId="0" xfId="0" applyNumberFormat="1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/>
    <xf numFmtId="10" fontId="0" fillId="0" borderId="0" xfId="0" applyNumberFormat="1"/>
    <xf numFmtId="2" fontId="1" fillId="0" borderId="0" xfId="0" applyNumberFormat="1" applyFont="1"/>
    <xf numFmtId="0" fontId="0" fillId="0" borderId="0" xfId="0" applyNumberFormat="1"/>
    <xf numFmtId="0" fontId="1" fillId="0" borderId="0" xfId="0" applyNumberFormat="1" applyFont="1"/>
    <xf numFmtId="10" fontId="0" fillId="0" borderId="2" xfId="0" applyNumberFormat="1" applyBorder="1"/>
    <xf numFmtId="0" fontId="1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/>
    <xf numFmtId="10" fontId="0" fillId="0" borderId="0" xfId="0" applyNumberFormat="1" applyBorder="1"/>
    <xf numFmtId="0" fontId="0" fillId="0" borderId="3" xfId="0" applyBorder="1"/>
    <xf numFmtId="0" fontId="0" fillId="0" borderId="4" xfId="0" applyFont="1" applyFill="1" applyBorder="1"/>
    <xf numFmtId="0" fontId="0" fillId="0" borderId="5" xfId="0" applyFont="1" applyBorder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" xfId="0" applyFill="1" applyBorder="1"/>
    <xf numFmtId="0" fontId="0" fillId="0" borderId="2" xfId="0" applyFont="1" applyBorder="1"/>
    <xf numFmtId="2" fontId="0" fillId="0" borderId="2" xfId="0" applyNumberFormat="1" applyFont="1" applyBorder="1"/>
    <xf numFmtId="0" fontId="0" fillId="0" borderId="2" xfId="0" applyNumberFormat="1" applyFont="1" applyBorder="1"/>
    <xf numFmtId="0" fontId="0" fillId="0" borderId="1" xfId="0" applyFont="1" applyBorder="1"/>
    <xf numFmtId="0" fontId="0" fillId="0" borderId="5" xfId="0" applyNumberFormat="1" applyFont="1" applyBorder="1"/>
    <xf numFmtId="0" fontId="0" fillId="0" borderId="3" xfId="0" applyFont="1" applyBorder="1"/>
    <xf numFmtId="10" fontId="3" fillId="0" borderId="0" xfId="0" applyNumberFormat="1" applyFont="1"/>
    <xf numFmtId="1" fontId="0" fillId="0" borderId="0" xfId="0" applyNumberFormat="1" applyFont="1"/>
    <xf numFmtId="1" fontId="0" fillId="0" borderId="0" xfId="0" applyNumberFormat="1"/>
    <xf numFmtId="1" fontId="1" fillId="0" borderId="0" xfId="0" applyNumberFormat="1" applyFont="1"/>
    <xf numFmtId="0" fontId="1" fillId="0" borderId="3" xfId="0" applyFont="1" applyBorder="1" applyAlignment="1">
      <alignment horizontal="center"/>
    </xf>
    <xf numFmtId="10" fontId="0" fillId="0" borderId="3" xfId="0" applyNumberFormat="1" applyBorder="1"/>
    <xf numFmtId="10" fontId="3" fillId="0" borderId="0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BFS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0301292757986054"/>
                  <c:y val="3.8149125338390287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3723338778456979"/>
                  <c:y val="8.9320952027593728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4.9347135803828934E-2"/>
                  <c:y val="-0.18996509598603975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6915378633226424"/>
                  <c:y val="-2.0899121902955849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7221250121512588E-2"/>
                  <c:y val="0.17156868807629544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Sheet1!$I$10:$I$20</c:f>
              <c:numCache>
                <c:formatCode>0.00%</c:formatCode>
                <c:ptCount val="11"/>
                <c:pt idx="0">
                  <c:v>0</c:v>
                </c:pt>
                <c:pt idx="1">
                  <c:v>3.9223834149677179E-2</c:v>
                </c:pt>
                <c:pt idx="2">
                  <c:v>0.19774752863225811</c:v>
                </c:pt>
                <c:pt idx="3">
                  <c:v>0</c:v>
                </c:pt>
                <c:pt idx="4">
                  <c:v>8.9072306120973777E-2</c:v>
                </c:pt>
                <c:pt idx="5">
                  <c:v>4.3662895157340085E-4</c:v>
                </c:pt>
                <c:pt idx="6">
                  <c:v>0.31839856406635542</c:v>
                </c:pt>
                <c:pt idx="7">
                  <c:v>0.14940195211551568</c:v>
                </c:pt>
                <c:pt idx="8">
                  <c:v>3.3402114795365166E-2</c:v>
                </c:pt>
                <c:pt idx="9">
                  <c:v>4.191637935104648E-2</c:v>
                </c:pt>
                <c:pt idx="10">
                  <c:v>0.13040069181723477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66" l="0.70000000000000062" r="0.70000000000000062" t="0.750000000000004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Contribution of Each Concern to the Total</a:t>
            </a:r>
            <a:r>
              <a:rPr lang="en-US" sz="1600" baseline="0"/>
              <a:t> Project Size</a:t>
            </a:r>
            <a:endParaRPr lang="en-US" sz="1600"/>
          </a:p>
        </c:rich>
      </c:tx>
    </c:title>
    <c:plotArea>
      <c:layout/>
      <c:areaChart>
        <c:grouping val="stacked"/>
        <c:ser>
          <c:idx val="0"/>
          <c:order val="0"/>
          <c:tx>
            <c:strRef>
              <c:f>Sheet1!$B$110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Sheet1!$C$110:$I$110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37.5</c:v>
                </c:pt>
                <c:pt idx="5">
                  <c:v>37.5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Sheet1!$B$116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Sheet1!$C$116:$I$116</c:f>
              <c:numCache>
                <c:formatCode>0</c:formatCode>
                <c:ptCount val="7"/>
                <c:pt idx="0">
                  <c:v>1</c:v>
                </c:pt>
                <c:pt idx="1">
                  <c:v>42.5</c:v>
                </c:pt>
                <c:pt idx="2">
                  <c:v>128</c:v>
                </c:pt>
                <c:pt idx="3">
                  <c:v>5</c:v>
                </c:pt>
                <c:pt idx="4">
                  <c:v>50</c:v>
                </c:pt>
                <c:pt idx="5">
                  <c:v>0</c:v>
                </c:pt>
                <c:pt idx="6">
                  <c:v>50</c:v>
                </c:pt>
              </c:numCache>
            </c:numRef>
          </c:val>
        </c:ser>
        <c:ser>
          <c:idx val="2"/>
          <c:order val="2"/>
          <c:tx>
            <c:strRef>
              <c:f>Sheet1!$B$111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Sheet1!$C$111:$I$111</c:f>
              <c:numCache>
                <c:formatCode>0</c:formatCode>
                <c:ptCount val="7"/>
                <c:pt idx="0">
                  <c:v>0</c:v>
                </c:pt>
                <c:pt idx="1">
                  <c:v>174</c:v>
                </c:pt>
                <c:pt idx="2">
                  <c:v>106.71428571428571</c:v>
                </c:pt>
                <c:pt idx="3">
                  <c:v>425.33333333333331</c:v>
                </c:pt>
                <c:pt idx="4">
                  <c:v>269.33333333333331</c:v>
                </c:pt>
                <c:pt idx="5">
                  <c:v>0</c:v>
                </c:pt>
                <c:pt idx="6">
                  <c:v>269.33333333333331</c:v>
                </c:pt>
              </c:numCache>
            </c:numRef>
          </c:val>
        </c:ser>
        <c:ser>
          <c:idx val="3"/>
          <c:order val="3"/>
          <c:tx>
            <c:strRef>
              <c:f>Sheet1!$B$120</c:f>
              <c:strCache>
                <c:ptCount val="1"/>
                <c:pt idx="0">
                  <c:v>Topic Routing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Sheet1!$C$120:$I$120</c:f>
              <c:numCache>
                <c:formatCode>0</c:formatCode>
                <c:ptCount val="7"/>
                <c:pt idx="0">
                  <c:v>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Sheet1!$B$113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Sheet1!$C$113:$I$113</c:f>
              <c:numCache>
                <c:formatCode>0</c:formatCode>
                <c:ptCount val="7"/>
                <c:pt idx="0">
                  <c:v>452.89605263157898</c:v>
                </c:pt>
                <c:pt idx="1">
                  <c:v>452.89605263157898</c:v>
                </c:pt>
                <c:pt idx="2">
                  <c:v>452.89605263157898</c:v>
                </c:pt>
                <c:pt idx="3">
                  <c:v>452.89605263157898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Sheet1!$B$115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Sheet1!$C$115:$I$115</c:f>
              <c:numCache>
                <c:formatCode>0</c:formatCode>
                <c:ptCount val="7"/>
                <c:pt idx="0">
                  <c:v>204</c:v>
                </c:pt>
                <c:pt idx="1">
                  <c:v>204</c:v>
                </c:pt>
                <c:pt idx="2">
                  <c:v>208.86666666666667</c:v>
                </c:pt>
                <c:pt idx="3">
                  <c:v>204</c:v>
                </c:pt>
                <c:pt idx="4">
                  <c:v>204</c:v>
                </c:pt>
                <c:pt idx="5">
                  <c:v>0</c:v>
                </c:pt>
                <c:pt idx="6">
                  <c:v>204</c:v>
                </c:pt>
              </c:numCache>
            </c:numRef>
          </c:val>
        </c:ser>
        <c:ser>
          <c:idx val="6"/>
          <c:order val="6"/>
          <c:tx>
            <c:strRef>
              <c:f>Sheet1!$B$114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Sheet1!$C$114:$I$114</c:f>
              <c:numCache>
                <c:formatCode>0</c:formatCode>
                <c:ptCount val="7"/>
                <c:pt idx="0">
                  <c:v>89.833333333333329</c:v>
                </c:pt>
                <c:pt idx="1">
                  <c:v>206.18181818181819</c:v>
                </c:pt>
                <c:pt idx="2">
                  <c:v>142.13333333333333</c:v>
                </c:pt>
                <c:pt idx="3">
                  <c:v>432</c:v>
                </c:pt>
                <c:pt idx="4">
                  <c:v>250</c:v>
                </c:pt>
                <c:pt idx="5">
                  <c:v>208</c:v>
                </c:pt>
                <c:pt idx="6">
                  <c:v>42</c:v>
                </c:pt>
              </c:numCache>
            </c:numRef>
          </c:val>
        </c:ser>
        <c:ser>
          <c:idx val="7"/>
          <c:order val="7"/>
          <c:tx>
            <c:strRef>
              <c:f>Sheet1!$B$119</c:f>
              <c:strCache>
                <c:ptCount val="1"/>
                <c:pt idx="0">
                  <c:v>Subscription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Sheet1!$C$119:$I$119</c:f>
              <c:numCache>
                <c:formatCode>0</c:formatCode>
                <c:ptCount val="7"/>
                <c:pt idx="0">
                  <c:v>76.5</c:v>
                </c:pt>
                <c:pt idx="1">
                  <c:v>102</c:v>
                </c:pt>
                <c:pt idx="2">
                  <c:v>227.5</c:v>
                </c:pt>
                <c:pt idx="3">
                  <c:v>80</c:v>
                </c:pt>
                <c:pt idx="4">
                  <c:v>102</c:v>
                </c:pt>
                <c:pt idx="5">
                  <c:v>0</c:v>
                </c:pt>
                <c:pt idx="6">
                  <c:v>102</c:v>
                </c:pt>
              </c:numCache>
            </c:numRef>
          </c:val>
        </c:ser>
        <c:ser>
          <c:idx val="8"/>
          <c:order val="8"/>
          <c:tx>
            <c:strRef>
              <c:f>Sheet1!$B$112</c:f>
              <c:strCache>
                <c:ptCount val="1"/>
                <c:pt idx="0">
                  <c:v>Glue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Sheet1!$C$112:$I$112</c:f>
              <c:numCache>
                <c:formatCode>0</c:formatCode>
                <c:ptCount val="7"/>
                <c:pt idx="0">
                  <c:v>298.65333333333336</c:v>
                </c:pt>
                <c:pt idx="1">
                  <c:v>302.15970873786409</c:v>
                </c:pt>
                <c:pt idx="2">
                  <c:v>350.7857575757576</c:v>
                </c:pt>
                <c:pt idx="3">
                  <c:v>589.58709677419358</c:v>
                </c:pt>
                <c:pt idx="4">
                  <c:v>337.16903225806453</c:v>
                </c:pt>
                <c:pt idx="5">
                  <c:v>0</c:v>
                </c:pt>
                <c:pt idx="6">
                  <c:v>337.16903225806453</c:v>
                </c:pt>
              </c:numCache>
            </c:numRef>
          </c:val>
        </c:ser>
        <c:ser>
          <c:idx val="9"/>
          <c:order val="9"/>
          <c:tx>
            <c:strRef>
              <c:f>Sheet1!$B$118</c:f>
              <c:strCache>
                <c:ptCount val="1"/>
                <c:pt idx="0">
                  <c:v>Publication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Sheet1!$C$118:$I$118</c:f>
              <c:numCache>
                <c:formatCode>0</c:formatCode>
                <c:ptCount val="7"/>
                <c:pt idx="0">
                  <c:v>342.17142857142858</c:v>
                </c:pt>
                <c:pt idx="1">
                  <c:v>342.17142857142858</c:v>
                </c:pt>
                <c:pt idx="2">
                  <c:v>401.99555555555554</c:v>
                </c:pt>
                <c:pt idx="3">
                  <c:v>305.36800000000005</c:v>
                </c:pt>
                <c:pt idx="4">
                  <c:v>925.11111111111109</c:v>
                </c:pt>
                <c:pt idx="5">
                  <c:v>895.11111111111109</c:v>
                </c:pt>
                <c:pt idx="6">
                  <c:v>30</c:v>
                </c:pt>
              </c:numCache>
            </c:numRef>
          </c:val>
        </c:ser>
        <c:ser>
          <c:idx val="10"/>
          <c:order val="10"/>
          <c:tx>
            <c:strRef>
              <c:f>Sheet1!$B$117</c:f>
              <c:strCache>
                <c:ptCount val="1"/>
                <c:pt idx="0">
                  <c:v>Protocol (TS)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Sheet1!$C$117:$I$117</c:f>
              <c:numCache>
                <c:formatCode>0</c:formatCode>
                <c:ptCount val="7"/>
                <c:pt idx="0">
                  <c:v>729.22</c:v>
                </c:pt>
                <c:pt idx="1">
                  <c:v>738.1875</c:v>
                </c:pt>
                <c:pt idx="2">
                  <c:v>740.56875000000002</c:v>
                </c:pt>
                <c:pt idx="3">
                  <c:v>740.56875000000002</c:v>
                </c:pt>
                <c:pt idx="4">
                  <c:v>628.13090909090909</c:v>
                </c:pt>
                <c:pt idx="5">
                  <c:v>628.13090909090909</c:v>
                </c:pt>
                <c:pt idx="6">
                  <c:v>0</c:v>
                </c:pt>
              </c:numCache>
            </c:numRef>
          </c:val>
        </c:ser>
        <c:axId val="122850304"/>
        <c:axId val="122876672"/>
      </c:areaChart>
      <c:catAx>
        <c:axId val="122850304"/>
        <c:scaling>
          <c:orientation val="minMax"/>
        </c:scaling>
        <c:axPos val="b"/>
        <c:majorTickMark val="none"/>
        <c:tickLblPos val="nextTo"/>
        <c:crossAx val="122876672"/>
        <c:crosses val="autoZero"/>
        <c:auto val="1"/>
        <c:lblAlgn val="ctr"/>
        <c:lblOffset val="100"/>
      </c:catAx>
      <c:valAx>
        <c:axId val="1228766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</a:t>
                </a:r>
                <a:r>
                  <a:rPr lang="en-US" baseline="0"/>
                  <a:t> size (LOC)</a:t>
                </a:r>
                <a:endParaRPr lang="en-US"/>
              </a:p>
            </c:rich>
          </c:tx>
        </c:title>
        <c:numFmt formatCode="0" sourceLinked="1"/>
        <c:majorTickMark val="none"/>
        <c:tickLblPos val="nextTo"/>
        <c:crossAx val="12285030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Contribution of Each Concern to the Total Project Size</a:t>
            </a:r>
          </a:p>
        </c:rich>
      </c:tx>
    </c:title>
    <c:plotArea>
      <c:layout/>
      <c:areaChart>
        <c:grouping val="stacked"/>
        <c:ser>
          <c:idx val="0"/>
          <c:order val="0"/>
          <c:tx>
            <c:strRef>
              <c:f>Sheet1!$B$124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Sheet1!$C$124:$I$124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1.167479599690917E-2</c:v>
                </c:pt>
                <c:pt idx="5">
                  <c:v>1.6543567669274454E-2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Sheet1!$B$129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Sheet1!$C$129:$I$129</c:f>
              <c:numCache>
                <c:formatCode>0.00%</c:formatCode>
                <c:ptCount val="7"/>
                <c:pt idx="0">
                  <c:v>4.3662895157340085E-4</c:v>
                </c:pt>
                <c:pt idx="1">
                  <c:v>1.6575039147460363E-2</c:v>
                </c:pt>
                <c:pt idx="2">
                  <c:v>4.6385880345113775E-2</c:v>
                </c:pt>
                <c:pt idx="3">
                  <c:v>1.5457129617785803E-3</c:v>
                </c:pt>
                <c:pt idx="4">
                  <c:v>1.5566394662545559E-2</c:v>
                </c:pt>
                <c:pt idx="5">
                  <c:v>0</c:v>
                </c:pt>
                <c:pt idx="6">
                  <c:v>4.833241726945333E-2</c:v>
                </c:pt>
              </c:numCache>
            </c:numRef>
          </c:val>
        </c:ser>
        <c:ser>
          <c:idx val="2"/>
          <c:order val="2"/>
          <c:tx>
            <c:strRef>
              <c:f>Sheet1!$B$130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Sheet1!$C$130:$I$130</c:f>
              <c:numCache>
                <c:formatCode>0.00%</c:formatCode>
                <c:ptCount val="7"/>
                <c:pt idx="0">
                  <c:v>4.191637935104648E-2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0.15504129083895377</c:v>
                </c:pt>
                <c:pt idx="5">
                  <c:v>0.21969857864796472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Sheet1!$B$128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Sheet1!$C$128:$I$128</c:f>
              <c:numCache>
                <c:formatCode>0.00%</c:formatCode>
                <c:ptCount val="7"/>
                <c:pt idx="0">
                  <c:v>3.9223834149677179E-2</c:v>
                </c:pt>
                <c:pt idx="1">
                  <c:v>8.0411099008428036E-2</c:v>
                </c:pt>
                <c:pt idx="2">
                  <c:v>5.1507654633220087E-2</c:v>
                </c:pt>
                <c:pt idx="3">
                  <c:v>0.13354959989766935</c:v>
                </c:pt>
                <c:pt idx="4">
                  <c:v>5.4704758385517249E-2</c:v>
                </c:pt>
                <c:pt idx="5">
                  <c:v>9.1761655338908968E-2</c:v>
                </c:pt>
                <c:pt idx="6">
                  <c:v>4.0599230506340796E-2</c:v>
                </c:pt>
              </c:numCache>
            </c:numRef>
          </c:val>
        </c:ser>
        <c:ser>
          <c:idx val="4"/>
          <c:order val="4"/>
          <c:tx>
            <c:strRef>
              <c:f>Sheet1!$B$131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Sheet1!$C$131:$I$131</c:f>
              <c:numCache>
                <c:formatCode>0.00%</c:formatCode>
                <c:ptCount val="7"/>
                <c:pt idx="0">
                  <c:v>8.9072306120973777E-2</c:v>
                </c:pt>
                <c:pt idx="1">
                  <c:v>7.9560187907809748E-2</c:v>
                </c:pt>
                <c:pt idx="2">
                  <c:v>7.5691126625646601E-2</c:v>
                </c:pt>
                <c:pt idx="3">
                  <c:v>6.306508884056608E-2</c:v>
                </c:pt>
                <c:pt idx="4">
                  <c:v>6.3510890223185887E-2</c:v>
                </c:pt>
                <c:pt idx="5">
                  <c:v>0</c:v>
                </c:pt>
                <c:pt idx="6">
                  <c:v>0.19719626245936958</c:v>
                </c:pt>
              </c:numCache>
            </c:numRef>
          </c:val>
        </c:ser>
        <c:ser>
          <c:idx val="5"/>
          <c:order val="5"/>
          <c:tx>
            <c:strRef>
              <c:f>Sheet1!$B$125</c:f>
              <c:strCache>
                <c:ptCount val="1"/>
                <c:pt idx="0">
                  <c:v>Adaptation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Sheet1!$C$125:$I$125</c:f>
              <c:numCache>
                <c:formatCode>0.00%</c:formatCode>
                <c:ptCount val="7"/>
                <c:pt idx="0">
                  <c:v>0</c:v>
                </c:pt>
                <c:pt idx="1">
                  <c:v>6.7860160274308315E-2</c:v>
                </c:pt>
                <c:pt idx="2">
                  <c:v>3.8672156939508914E-2</c:v>
                </c:pt>
                <c:pt idx="3">
                  <c:v>0.13148864928196455</c:v>
                </c:pt>
                <c:pt idx="4">
                  <c:v>8.3850979248912078E-2</c:v>
                </c:pt>
                <c:pt idx="5">
                  <c:v>0</c:v>
                </c:pt>
                <c:pt idx="6">
                  <c:v>0.26035062102478856</c:v>
                </c:pt>
              </c:numCache>
            </c:numRef>
          </c:val>
        </c:ser>
        <c:ser>
          <c:idx val="6"/>
          <c:order val="6"/>
          <c:tx>
            <c:strRef>
              <c:f>Sheet1!$B$132</c:f>
              <c:strCache>
                <c:ptCount val="1"/>
                <c:pt idx="0">
                  <c:v>Subscription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Sheet1!$C$132:$I$132</c:f>
              <c:numCache>
                <c:formatCode>0.00%</c:formatCode>
                <c:ptCount val="7"/>
                <c:pt idx="0">
                  <c:v>3.3402114795365166E-2</c:v>
                </c:pt>
                <c:pt idx="1">
                  <c:v>3.9780093953904874E-2</c:v>
                </c:pt>
                <c:pt idx="2">
                  <c:v>8.2443654519635812E-2</c:v>
                </c:pt>
                <c:pt idx="3">
                  <c:v>2.4731407388457284E-2</c:v>
                </c:pt>
                <c:pt idx="4">
                  <c:v>3.1755445111592943E-2</c:v>
                </c:pt>
                <c:pt idx="5">
                  <c:v>0</c:v>
                </c:pt>
                <c:pt idx="6">
                  <c:v>9.8598131229684791E-2</c:v>
                </c:pt>
              </c:numCache>
            </c:numRef>
          </c:val>
        </c:ser>
        <c:ser>
          <c:idx val="7"/>
          <c:order val="7"/>
          <c:tx>
            <c:strRef>
              <c:f>Sheet1!$B$127</c:f>
              <c:strCache>
                <c:ptCount val="1"/>
                <c:pt idx="0">
                  <c:v>Thread &amp; Distrib.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Sheet1!$C$127:$I$127</c:f>
              <c:numCache>
                <c:formatCode>0.00%</c:formatCode>
                <c:ptCount val="7"/>
                <c:pt idx="0">
                  <c:v>0.19774752863225811</c:v>
                </c:pt>
                <c:pt idx="1">
                  <c:v>0.17662987769643979</c:v>
                </c:pt>
                <c:pt idx="2">
                  <c:v>0.16412486020424041</c:v>
                </c:pt>
                <c:pt idx="3">
                  <c:v>0.14000945977819715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Sheet1!$B$126</c:f>
              <c:strCache>
                <c:ptCount val="1"/>
                <c:pt idx="0">
                  <c:v>Glue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Sheet1!$C$126:$I$126</c:f>
              <c:numCache>
                <c:formatCode>0.00%</c:formatCode>
                <c:ptCount val="7"/>
                <c:pt idx="0">
                  <c:v>0.13040069181723477</c:v>
                </c:pt>
                <c:pt idx="1">
                  <c:v>0.11784256473212515</c:v>
                </c:pt>
                <c:pt idx="2">
                  <c:v>0.12712114201311858</c:v>
                </c:pt>
                <c:pt idx="3">
                  <c:v>0.18226648351625466</c:v>
                </c:pt>
                <c:pt idx="4">
                  <c:v>0.10497012448235174</c:v>
                </c:pt>
                <c:pt idx="5">
                  <c:v>0</c:v>
                </c:pt>
                <c:pt idx="6">
                  <c:v>0.32592388714869092</c:v>
                </c:pt>
              </c:numCache>
            </c:numRef>
          </c:val>
        </c:ser>
        <c:ser>
          <c:idx val="9"/>
          <c:order val="9"/>
          <c:tx>
            <c:strRef>
              <c:f>Sheet1!$B$133</c:f>
              <c:strCache>
                <c:ptCount val="1"/>
                <c:pt idx="0">
                  <c:v>Publication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Sheet1!$C$133:$I$133</c:f>
              <c:numCache>
                <c:formatCode>0.00%</c:formatCode>
                <c:ptCount val="7"/>
                <c:pt idx="0">
                  <c:v>0.14940195211551568</c:v>
                </c:pt>
                <c:pt idx="1">
                  <c:v>0.13344717232267922</c:v>
                </c:pt>
                <c:pt idx="2">
                  <c:v>0.14567904483802763</c:v>
                </c:pt>
                <c:pt idx="3">
                  <c:v>9.4402255142480324E-2</c:v>
                </c:pt>
                <c:pt idx="4">
                  <c:v>0.28337064843697934</c:v>
                </c:pt>
                <c:pt idx="5">
                  <c:v>0.39488883301829625</c:v>
                </c:pt>
                <c:pt idx="6">
                  <c:v>2.8999450361671997E-2</c:v>
                </c:pt>
              </c:numCache>
            </c:numRef>
          </c:val>
        </c:ser>
        <c:ser>
          <c:idx val="10"/>
          <c:order val="10"/>
          <c:tx>
            <c:strRef>
              <c:f>Sheet1!$B$134</c:f>
              <c:strCache>
                <c:ptCount val="1"/>
                <c:pt idx="0">
                  <c:v>Protocol (TS)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Sheet1!$C$134:$I$134</c:f>
              <c:numCache>
                <c:formatCode>0.00%</c:formatCode>
                <c:ptCount val="7"/>
                <c:pt idx="0">
                  <c:v>0.31839856406635542</c:v>
                </c:pt>
                <c:pt idx="1">
                  <c:v>0.28789380495684463</c:v>
                </c:pt>
                <c:pt idx="2">
                  <c:v>0.2683744798814881</c:v>
                </c:pt>
                <c:pt idx="3">
                  <c:v>0.22894134319263221</c:v>
                </c:pt>
                <c:pt idx="4">
                  <c:v>0.19555467261305234</c:v>
                </c:pt>
                <c:pt idx="5">
                  <c:v>0.27710736532555558</c:v>
                </c:pt>
                <c:pt idx="6">
                  <c:v>0</c:v>
                </c:pt>
              </c:numCache>
            </c:numRef>
          </c:val>
        </c:ser>
        <c:axId val="123015552"/>
        <c:axId val="123017088"/>
      </c:areaChart>
      <c:catAx>
        <c:axId val="123015552"/>
        <c:scaling>
          <c:orientation val="minMax"/>
        </c:scaling>
        <c:axPos val="b"/>
        <c:majorTickMark val="none"/>
        <c:tickLblPos val="nextTo"/>
        <c:crossAx val="123017088"/>
        <c:crosses val="autoZero"/>
        <c:auto val="1"/>
        <c:lblAlgn val="ctr"/>
        <c:lblOffset val="100"/>
      </c:catAx>
      <c:valAx>
        <c:axId val="1230170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Concern size (LOC)</a:t>
                </a:r>
              </a:p>
            </c:rich>
          </c:tx>
        </c:title>
        <c:numFmt formatCode="0.00%" sourceLinked="1"/>
        <c:majorTickMark val="none"/>
        <c:tickLblPos val="nextTo"/>
        <c:crossAx val="12301555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</a:t>
            </a:r>
            <a:r>
              <a:rPr lang="en-US" sz="1400" baseline="0"/>
              <a:t> Reusability Costs </a:t>
            </a:r>
            <a:r>
              <a:rPr lang="en-US" sz="1400"/>
              <a:t>Main Concerns (LOC*CC) </a:t>
            </a:r>
            <a:br>
              <a:rPr lang="en-US" sz="1400"/>
            </a:br>
            <a:r>
              <a:rPr lang="en-US" sz="1400"/>
              <a:t>no CB/TB</a:t>
            </a:r>
            <a:r>
              <a:rPr lang="en-US" sz="1400" baseline="0"/>
              <a:t> core reuse</a:t>
            </a:r>
            <a:endParaRPr lang="en-US" sz="1400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Sheet1!$B$139</c:f>
              <c:strCache>
                <c:ptCount val="1"/>
                <c:pt idx="0">
                  <c:v>Domain</c:v>
                </c:pt>
              </c:strCache>
            </c:strRef>
          </c:tx>
          <c:dLbls>
            <c:showVal val="1"/>
          </c:dLbls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Sheet1!$D$139:$I$139</c:f>
              <c:numCache>
                <c:formatCode>0</c:formatCode>
                <c:ptCount val="6"/>
                <c:pt idx="0">
                  <c:v>1428.8589285714286</c:v>
                </c:pt>
                <c:pt idx="1">
                  <c:v>1706.9309722222222</c:v>
                </c:pt>
                <c:pt idx="2">
                  <c:v>1334.9367500000001</c:v>
                </c:pt>
                <c:pt idx="3">
                  <c:v>1871.7420202020203</c:v>
                </c:pt>
                <c:pt idx="4">
                  <c:v>1485.7420202020203</c:v>
                </c:pt>
                <c:pt idx="5">
                  <c:v>386</c:v>
                </c:pt>
              </c:numCache>
            </c:numRef>
          </c:val>
        </c:ser>
        <c:ser>
          <c:idx val="1"/>
          <c:order val="1"/>
          <c:tx>
            <c:strRef>
              <c:f>Sheet1!$B$140</c:f>
              <c:strCache>
                <c:ptCount val="1"/>
                <c:pt idx="0">
                  <c:v>Middleware</c:v>
                </c:pt>
              </c:strCache>
            </c:strRef>
          </c:tx>
          <c:dLbls>
            <c:showVal val="1"/>
          </c:dLbls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Sheet1!$D$140:$I$140</c:f>
              <c:numCache>
                <c:formatCode>0</c:formatCode>
                <c:ptCount val="6"/>
                <c:pt idx="0">
                  <c:v>659.07787081339711</c:v>
                </c:pt>
                <c:pt idx="1">
                  <c:v>595.02938596491231</c:v>
                </c:pt>
                <c:pt idx="2">
                  <c:v>884.89605263157898</c:v>
                </c:pt>
                <c:pt idx="3">
                  <c:v>250</c:v>
                </c:pt>
                <c:pt idx="4">
                  <c:v>208</c:v>
                </c:pt>
                <c:pt idx="5">
                  <c:v>42</c:v>
                </c:pt>
              </c:numCache>
            </c:numRef>
          </c:val>
        </c:ser>
        <c:ser>
          <c:idx val="2"/>
          <c:order val="2"/>
          <c:tx>
            <c:strRef>
              <c:f>Sheet1!$B$141</c:f>
              <c:strCache>
                <c:ptCount val="1"/>
                <c:pt idx="0">
                  <c:v>Adaptation</c:v>
                </c:pt>
              </c:strCache>
            </c:strRef>
          </c:tx>
          <c:dLbls>
            <c:showVal val="1"/>
          </c:dLbls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Sheet1!$D$141:$I$141</c:f>
              <c:numCache>
                <c:formatCode>0</c:formatCode>
                <c:ptCount val="6"/>
                <c:pt idx="0">
                  <c:v>476.15970873786409</c:v>
                </c:pt>
                <c:pt idx="1">
                  <c:v>457.50004329004332</c:v>
                </c:pt>
                <c:pt idx="2">
                  <c:v>1014.920430107527</c:v>
                </c:pt>
                <c:pt idx="3">
                  <c:v>681.50236559139785</c:v>
                </c:pt>
                <c:pt idx="4">
                  <c:v>75</c:v>
                </c:pt>
                <c:pt idx="5">
                  <c:v>606.50236559139785</c:v>
                </c:pt>
              </c:numCache>
            </c:numRef>
          </c:val>
        </c:ser>
        <c:gapWidth val="75"/>
        <c:overlap val="100"/>
        <c:axId val="123085568"/>
        <c:axId val="123087104"/>
      </c:barChart>
      <c:catAx>
        <c:axId val="123085568"/>
        <c:scaling>
          <c:orientation val="minMax"/>
        </c:scaling>
        <c:axPos val="l"/>
        <c:majorTickMark val="none"/>
        <c:tickLblPos val="nextTo"/>
        <c:crossAx val="123087104"/>
        <c:crosses val="autoZero"/>
        <c:auto val="1"/>
        <c:lblAlgn val="ctr"/>
        <c:lblOffset val="100"/>
      </c:catAx>
      <c:valAx>
        <c:axId val="123087104"/>
        <c:scaling>
          <c:orientation val="minMax"/>
        </c:scaling>
        <c:axPos val="b"/>
        <c:majorGridlines/>
        <c:numFmt formatCode="0" sourceLinked="0"/>
        <c:majorTickMark val="none"/>
        <c:tickLblPos val="nextTo"/>
        <c:spPr>
          <a:ln w="9525">
            <a:noFill/>
          </a:ln>
        </c:spPr>
        <c:crossAx val="12308556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IMPROMPTU development effort: main concerns (LOC*CC) 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Sheet1!$B$142</c:f>
              <c:strCache>
                <c:ptCount val="1"/>
                <c:pt idx="0">
                  <c:v>Domain (reusing CB core)</c:v>
                </c:pt>
              </c:strCache>
            </c:strRef>
          </c:tx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Sheet1!$D$142:$I$142</c:f>
              <c:numCache>
                <c:formatCode>0</c:formatCode>
                <c:ptCount val="6"/>
                <c:pt idx="0">
                  <c:v>1428.8589285714286</c:v>
                </c:pt>
                <c:pt idx="1">
                  <c:v>1706.9309722222222</c:v>
                </c:pt>
                <c:pt idx="2">
                  <c:v>1334.9367500000001</c:v>
                </c:pt>
                <c:pt idx="3">
                  <c:v>1871.7420202020203</c:v>
                </c:pt>
                <c:pt idx="4">
                  <c:v>1485.7420202020203</c:v>
                </c:pt>
                <c:pt idx="5">
                  <c:v>386</c:v>
                </c:pt>
              </c:numCache>
            </c:numRef>
          </c:val>
        </c:ser>
        <c:ser>
          <c:idx val="1"/>
          <c:order val="1"/>
          <c:tx>
            <c:strRef>
              <c:f>Sheet1!$B$141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Sheet1!$D$141:$I$141</c:f>
              <c:numCache>
                <c:formatCode>0</c:formatCode>
                <c:ptCount val="6"/>
                <c:pt idx="0">
                  <c:v>476.15970873786409</c:v>
                </c:pt>
                <c:pt idx="1">
                  <c:v>457.50004329004332</c:v>
                </c:pt>
                <c:pt idx="2">
                  <c:v>1014.920430107527</c:v>
                </c:pt>
                <c:pt idx="3">
                  <c:v>681.50236559139785</c:v>
                </c:pt>
                <c:pt idx="4">
                  <c:v>75</c:v>
                </c:pt>
                <c:pt idx="5">
                  <c:v>606.50236559139785</c:v>
                </c:pt>
              </c:numCache>
            </c:numRef>
          </c:val>
        </c:ser>
        <c:ser>
          <c:idx val="2"/>
          <c:order val="2"/>
          <c:tx>
            <c:strRef>
              <c:f>Sheet1!$B$140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Sheet1!$D$140:$I$140</c:f>
              <c:numCache>
                <c:formatCode>0</c:formatCode>
                <c:ptCount val="6"/>
                <c:pt idx="0">
                  <c:v>659.07787081339711</c:v>
                </c:pt>
                <c:pt idx="1">
                  <c:v>595.02938596491231</c:v>
                </c:pt>
                <c:pt idx="2">
                  <c:v>884.89605263157898</c:v>
                </c:pt>
                <c:pt idx="3">
                  <c:v>250</c:v>
                </c:pt>
                <c:pt idx="4">
                  <c:v>208</c:v>
                </c:pt>
                <c:pt idx="5">
                  <c:v>42</c:v>
                </c:pt>
              </c:numCache>
            </c:numRef>
          </c:val>
        </c:ser>
        <c:gapWidth val="95"/>
        <c:overlap val="100"/>
        <c:axId val="123129216"/>
        <c:axId val="123139200"/>
      </c:barChart>
      <c:catAx>
        <c:axId val="123129216"/>
        <c:scaling>
          <c:orientation val="minMax"/>
        </c:scaling>
        <c:axPos val="l"/>
        <c:majorTickMark val="none"/>
        <c:tickLblPos val="nextTo"/>
        <c:crossAx val="123139200"/>
        <c:crosses val="autoZero"/>
        <c:auto val="1"/>
        <c:lblAlgn val="ctr"/>
        <c:lblOffset val="100"/>
      </c:catAx>
      <c:valAx>
        <c:axId val="123139200"/>
        <c:scaling>
          <c:orientation val="minMax"/>
        </c:scaling>
        <c:axPos val="b"/>
        <c:majorGridlines/>
        <c:numFmt formatCode="0" sourceLinked="0"/>
        <c:majorTickMark val="none"/>
        <c:tickLblPos val="nextTo"/>
        <c:crossAx val="1231292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 reusability effort - main concerns (LOC)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Sheet1!$B$95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Sheet1!$D$94:$I$94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Sheet1!$D$95:$I$95</c:f>
              <c:numCache>
                <c:formatCode>0</c:formatCode>
                <c:ptCount val="6"/>
                <c:pt idx="0">
                  <c:v>702</c:v>
                </c:pt>
                <c:pt idx="1">
                  <c:v>805</c:v>
                </c:pt>
                <c:pt idx="2">
                  <c:v>693</c:v>
                </c:pt>
                <c:pt idx="3">
                  <c:v>856.49295774647885</c:v>
                </c:pt>
                <c:pt idx="4">
                  <c:v>571.49295774647885</c:v>
                </c:pt>
                <c:pt idx="5">
                  <c:v>285</c:v>
                </c:pt>
              </c:numCache>
            </c:numRef>
          </c:val>
        </c:ser>
        <c:ser>
          <c:idx val="1"/>
          <c:order val="1"/>
          <c:tx>
            <c:strRef>
              <c:f>Sheet1!$B$96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Sheet1!$D$94:$I$94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Sheet1!$D$96:$I$96</c:f>
              <c:numCache>
                <c:formatCode>0</c:formatCode>
                <c:ptCount val="6"/>
                <c:pt idx="0">
                  <c:v>427</c:v>
                </c:pt>
                <c:pt idx="1">
                  <c:v>399</c:v>
                </c:pt>
                <c:pt idx="2">
                  <c:v>463</c:v>
                </c:pt>
                <c:pt idx="3">
                  <c:v>82</c:v>
                </c:pt>
                <c:pt idx="4">
                  <c:v>52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Sheet1!$B$97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Sheet1!$D$94:$I$94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Sheet1!$D$97:$I$97</c:f>
              <c:numCache>
                <c:formatCode>0</c:formatCode>
                <c:ptCount val="6"/>
                <c:pt idx="0">
                  <c:v>242</c:v>
                </c:pt>
                <c:pt idx="1">
                  <c:v>254</c:v>
                </c:pt>
                <c:pt idx="2">
                  <c:v>404</c:v>
                </c:pt>
                <c:pt idx="3">
                  <c:v>404.50704225352115</c:v>
                </c:pt>
                <c:pt idx="4">
                  <c:v>87.507042253521178</c:v>
                </c:pt>
                <c:pt idx="5">
                  <c:v>317</c:v>
                </c:pt>
              </c:numCache>
            </c:numRef>
          </c:val>
        </c:ser>
        <c:gapWidth val="75"/>
        <c:overlap val="100"/>
        <c:axId val="123163392"/>
        <c:axId val="123164928"/>
      </c:barChart>
      <c:catAx>
        <c:axId val="123163392"/>
        <c:scaling>
          <c:orientation val="minMax"/>
        </c:scaling>
        <c:axPos val="l"/>
        <c:majorTickMark val="none"/>
        <c:tickLblPos val="nextTo"/>
        <c:crossAx val="123164928"/>
        <c:crosses val="autoZero"/>
        <c:auto val="1"/>
        <c:lblAlgn val="ctr"/>
        <c:lblOffset val="100"/>
      </c:catAx>
      <c:valAx>
        <c:axId val="123164928"/>
        <c:scaling>
          <c:orientation val="minMax"/>
          <c:max val="1600"/>
        </c:scaling>
        <c:axPos val="b"/>
        <c:majorGridlines/>
        <c:numFmt formatCode="General" sourceLinked="0"/>
        <c:maj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12316339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 BFS concern sizes</a:t>
            </a:r>
          </a:p>
        </c:rich>
      </c:tx>
    </c:title>
    <c:plotArea>
      <c:layout/>
      <c:radarChart>
        <c:radarStyle val="marker"/>
        <c:ser>
          <c:idx val="0"/>
          <c:order val="0"/>
          <c:marker>
            <c:symbol val="none"/>
          </c:marker>
          <c:cat>
            <c:strRef>
              <c:f>Sheet1!$B$14:$B$19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Sheet1!$H$14:$H$19</c:f>
              <c:numCache>
                <c:formatCode>0.00</c:formatCode>
                <c:ptCount val="6"/>
                <c:pt idx="0">
                  <c:v>204</c:v>
                </c:pt>
                <c:pt idx="1">
                  <c:v>1</c:v>
                </c:pt>
                <c:pt idx="2">
                  <c:v>729.22</c:v>
                </c:pt>
                <c:pt idx="3">
                  <c:v>342.17142857142858</c:v>
                </c:pt>
                <c:pt idx="4">
                  <c:v>76.5</c:v>
                </c:pt>
                <c:pt idx="5">
                  <c:v>96</c:v>
                </c:pt>
              </c:numCache>
            </c:numRef>
          </c:val>
        </c:ser>
        <c:axId val="123273984"/>
        <c:axId val="123275520"/>
      </c:radarChart>
      <c:catAx>
        <c:axId val="123273984"/>
        <c:scaling>
          <c:orientation val="minMax"/>
        </c:scaling>
        <c:axPos val="b"/>
        <c:majorGridlines/>
        <c:majorTickMark val="none"/>
        <c:tickLblPos val="nextTo"/>
        <c:spPr>
          <a:ln w="9525">
            <a:noFill/>
          </a:ln>
        </c:spPr>
        <c:crossAx val="123275520"/>
        <c:crosses val="autoZero"/>
        <c:auto val="1"/>
        <c:lblAlgn val="ctr"/>
        <c:lblOffset val="100"/>
      </c:catAx>
      <c:valAx>
        <c:axId val="123275520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123273984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 domain-specific development effrot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Sheet1!$C$109</c:f>
              <c:strCache>
                <c:ptCount val="1"/>
                <c:pt idx="0">
                  <c:v>BFS</c:v>
                </c:pt>
              </c:strCache>
            </c:strRef>
          </c:tx>
          <c:cat>
            <c:strRef>
              <c:f>Sheet1!$B$115:$B$120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Topic Routing</c:v>
                </c:pt>
              </c:strCache>
            </c:strRef>
          </c:cat>
          <c:val>
            <c:numRef>
              <c:f>Sheet1!$C$115:$C$120</c:f>
              <c:numCache>
                <c:formatCode>0</c:formatCode>
                <c:ptCount val="6"/>
                <c:pt idx="0">
                  <c:v>204</c:v>
                </c:pt>
                <c:pt idx="1">
                  <c:v>1</c:v>
                </c:pt>
                <c:pt idx="2">
                  <c:v>729.22</c:v>
                </c:pt>
                <c:pt idx="3">
                  <c:v>342.17142857142858</c:v>
                </c:pt>
                <c:pt idx="4">
                  <c:v>76.5</c:v>
                </c:pt>
                <c:pt idx="5">
                  <c:v>96</c:v>
                </c:pt>
              </c:numCache>
            </c:numRef>
          </c:val>
        </c:ser>
        <c:ser>
          <c:idx val="1"/>
          <c:order val="1"/>
          <c:tx>
            <c:strRef>
              <c:f>Sheet1!$D$109</c:f>
              <c:strCache>
                <c:ptCount val="1"/>
                <c:pt idx="0">
                  <c:v>Siena</c:v>
                </c:pt>
              </c:strCache>
            </c:strRef>
          </c:tx>
          <c:marker>
            <c:symbol val="none"/>
          </c:marker>
          <c:cat>
            <c:strRef>
              <c:f>Sheet1!$B$115:$B$120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Topic Routing</c:v>
                </c:pt>
              </c:strCache>
            </c:strRef>
          </c:cat>
          <c:val>
            <c:numRef>
              <c:f>Sheet1!$D$115:$D$120</c:f>
              <c:numCache>
                <c:formatCode>0</c:formatCode>
                <c:ptCount val="6"/>
                <c:pt idx="0">
                  <c:v>204</c:v>
                </c:pt>
                <c:pt idx="1">
                  <c:v>42.5</c:v>
                </c:pt>
                <c:pt idx="2">
                  <c:v>738.1875</c:v>
                </c:pt>
                <c:pt idx="3">
                  <c:v>342.17142857142858</c:v>
                </c:pt>
                <c:pt idx="4">
                  <c:v>102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Sheet1!$E$109</c:f>
              <c:strCache>
                <c:ptCount val="1"/>
                <c:pt idx="0">
                  <c:v>JavaSpaces</c:v>
                </c:pt>
              </c:strCache>
            </c:strRef>
          </c:tx>
          <c:marker>
            <c:symbol val="none"/>
          </c:marker>
          <c:cat>
            <c:strRef>
              <c:f>Sheet1!$B$115:$B$120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Topic Routing</c:v>
                </c:pt>
              </c:strCache>
            </c:strRef>
          </c:cat>
          <c:val>
            <c:numRef>
              <c:f>Sheet1!$E$115:$E$120</c:f>
              <c:numCache>
                <c:formatCode>0</c:formatCode>
                <c:ptCount val="6"/>
                <c:pt idx="0">
                  <c:v>208.86666666666667</c:v>
                </c:pt>
                <c:pt idx="1">
                  <c:v>128</c:v>
                </c:pt>
                <c:pt idx="2">
                  <c:v>740.56875000000002</c:v>
                </c:pt>
                <c:pt idx="3">
                  <c:v>401.99555555555554</c:v>
                </c:pt>
                <c:pt idx="4">
                  <c:v>227.5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Sheet1!$F$109</c:f>
              <c:strCache>
                <c:ptCount val="1"/>
                <c:pt idx="0">
                  <c:v>CORBA-NS</c:v>
                </c:pt>
              </c:strCache>
            </c:strRef>
          </c:tx>
          <c:marker>
            <c:symbol val="none"/>
          </c:marker>
          <c:cat>
            <c:strRef>
              <c:f>Sheet1!$B$115:$B$120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Topic Routing</c:v>
                </c:pt>
              </c:strCache>
            </c:strRef>
          </c:cat>
          <c:val>
            <c:numRef>
              <c:f>Sheet1!$F$115:$F$120</c:f>
              <c:numCache>
                <c:formatCode>0</c:formatCode>
                <c:ptCount val="6"/>
                <c:pt idx="0">
                  <c:v>204</c:v>
                </c:pt>
                <c:pt idx="1">
                  <c:v>5</c:v>
                </c:pt>
                <c:pt idx="2">
                  <c:v>740.56875000000002</c:v>
                </c:pt>
                <c:pt idx="3">
                  <c:v>305.36800000000005</c:v>
                </c:pt>
                <c:pt idx="4">
                  <c:v>80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Sheet1!$G$109</c:f>
              <c:strCache>
                <c:ptCount val="1"/>
                <c:pt idx="0">
                  <c:v>YANCEES (Cli.+Serv.)</c:v>
                </c:pt>
              </c:strCache>
            </c:strRef>
          </c:tx>
          <c:marker>
            <c:symbol val="none"/>
          </c:marker>
          <c:cat>
            <c:strRef>
              <c:f>Sheet1!$B$115:$B$120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Topic Routing</c:v>
                </c:pt>
              </c:strCache>
            </c:strRef>
          </c:cat>
          <c:val>
            <c:numRef>
              <c:f>Sheet1!$G$115:$G$120</c:f>
              <c:numCache>
                <c:formatCode>0</c:formatCode>
                <c:ptCount val="6"/>
                <c:pt idx="0">
                  <c:v>204</c:v>
                </c:pt>
                <c:pt idx="1">
                  <c:v>50</c:v>
                </c:pt>
                <c:pt idx="2">
                  <c:v>628.13090909090909</c:v>
                </c:pt>
                <c:pt idx="3">
                  <c:v>925.11111111111109</c:v>
                </c:pt>
                <c:pt idx="4">
                  <c:v>102</c:v>
                </c:pt>
                <c:pt idx="5">
                  <c:v>0</c:v>
                </c:pt>
              </c:numCache>
            </c:numRef>
          </c:val>
        </c:ser>
        <c:marker val="1"/>
        <c:axId val="123306752"/>
        <c:axId val="123308288"/>
      </c:lineChart>
      <c:catAx>
        <c:axId val="123306752"/>
        <c:scaling>
          <c:orientation val="minMax"/>
        </c:scaling>
        <c:axPos val="b"/>
        <c:majorTickMark val="none"/>
        <c:tickLblPos val="nextTo"/>
        <c:crossAx val="123308288"/>
        <c:crosses val="autoZero"/>
        <c:auto val="1"/>
        <c:lblAlgn val="ctr"/>
        <c:lblOffset val="100"/>
      </c:catAx>
      <c:valAx>
        <c:axId val="1233082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(LOC*CC)</a:t>
                </a:r>
              </a:p>
            </c:rich>
          </c:tx>
          <c:layout>
            <c:manualLayout>
              <c:xMode val="edge"/>
              <c:yMode val="edge"/>
              <c:x val="0.1392465217657739"/>
              <c:y val="0.28033918837068478"/>
            </c:manualLayout>
          </c:layout>
        </c:title>
        <c:numFmt formatCode="0" sourceLinked="1"/>
        <c:majorTickMark val="none"/>
        <c:tickLblPos val="nextTo"/>
        <c:crossAx val="12330675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0407553222513919E-2"/>
                  <c:y val="2.506012010278817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9242247496840733E-2"/>
                  <c:y val="6.314259801294472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0.1621053271118888"/>
                  <c:y val="5.2792321116929136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14509611645766596"/>
                  <c:y val="-0.20196335078534164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8403348886944837"/>
                  <c:y val="3.5523422792046275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9275298920968323E-2"/>
                  <c:y val="0.16720568633109426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Sheet1!$P$10:$P$20</c:f>
              <c:numCache>
                <c:formatCode>0.00%</c:formatCode>
                <c:ptCount val="11"/>
                <c:pt idx="0">
                  <c:v>6.7860160274308315E-2</c:v>
                </c:pt>
                <c:pt idx="1">
                  <c:v>8.0411099008428036E-2</c:v>
                </c:pt>
                <c:pt idx="2">
                  <c:v>0.17662987769643979</c:v>
                </c:pt>
                <c:pt idx="3">
                  <c:v>0</c:v>
                </c:pt>
                <c:pt idx="4">
                  <c:v>7.9560187907809748E-2</c:v>
                </c:pt>
                <c:pt idx="5">
                  <c:v>1.6575039147460363E-2</c:v>
                </c:pt>
                <c:pt idx="6">
                  <c:v>0.28789380495684463</c:v>
                </c:pt>
                <c:pt idx="7">
                  <c:v>0.13344717232267922</c:v>
                </c:pt>
                <c:pt idx="8">
                  <c:v>3.9780093953904874E-2</c:v>
                </c:pt>
                <c:pt idx="9">
                  <c:v>0</c:v>
                </c:pt>
                <c:pt idx="10">
                  <c:v>0.11784256473212515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4283804802177507E-2"/>
                  <c:y val="4.2512127083591367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1.4499854184893555E-2"/>
                  <c:y val="3.4903670418161281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7917152717021654E-2"/>
                  <c:y val="-3.2205136661582291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2.5543161271507742E-2"/>
                  <c:y val="-2.3560209424083782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13316977738893737"/>
                  <c:y val="-0.19019217820285517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2856991834354037"/>
                  <c:y val="2.7208640804716398E-4"/>
                </c:manualLayout>
              </c:layout>
              <c:showCatName val="1"/>
              <c:showPercent val="1"/>
            </c:dLbl>
            <c:dLbl>
              <c:idx val="9"/>
              <c:layout>
                <c:manualLayout>
                  <c:x val="9.0294789540196728E-3"/>
                  <c:y val="-4.6016613760976433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003985612909452"/>
                  <c:y val="0.1846576933118962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Sheet1!$V$10:$V$20</c:f>
              <c:numCache>
                <c:formatCode>0.00</c:formatCode>
                <c:ptCount val="11"/>
                <c:pt idx="0">
                  <c:v>425.33333333333331</c:v>
                </c:pt>
                <c:pt idx="1">
                  <c:v>432</c:v>
                </c:pt>
                <c:pt idx="2">
                  <c:v>452.89605263157898</c:v>
                </c:pt>
                <c:pt idx="3">
                  <c:v>0</c:v>
                </c:pt>
                <c:pt idx="4">
                  <c:v>204</c:v>
                </c:pt>
                <c:pt idx="5">
                  <c:v>5</c:v>
                </c:pt>
                <c:pt idx="6">
                  <c:v>740.56875000000002</c:v>
                </c:pt>
                <c:pt idx="7">
                  <c:v>305.36800000000005</c:v>
                </c:pt>
                <c:pt idx="8">
                  <c:v>80</c:v>
                </c:pt>
                <c:pt idx="9">
                  <c:v>0</c:v>
                </c:pt>
                <c:pt idx="10">
                  <c:v>589.58709677419358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8185331000291686E-2"/>
                  <c:y val="-1.420689560401816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5688733352775351E-2"/>
                  <c:y val="4.5690934575586532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6.7827719451735533E-2"/>
                  <c:y val="-1.7454068241469823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8639666569456596E-2"/>
                  <c:y val="6.6678347143779805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2.9998420336346653E-2"/>
                  <c:y val="-0.16051483420593371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9109944590259634"/>
                  <c:y val="-2.8677289029970833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3752065714007969E-2"/>
                  <c:y val="0.17593168982149654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Sheet1!$AC$10:$AC$20</c:f>
              <c:numCache>
                <c:formatCode>0.00</c:formatCode>
                <c:ptCount val="11"/>
                <c:pt idx="0">
                  <c:v>106.71428571428571</c:v>
                </c:pt>
                <c:pt idx="1">
                  <c:v>142.13333333333333</c:v>
                </c:pt>
                <c:pt idx="2">
                  <c:v>452.89605263157898</c:v>
                </c:pt>
                <c:pt idx="3">
                  <c:v>0</c:v>
                </c:pt>
                <c:pt idx="4">
                  <c:v>208.86666666666667</c:v>
                </c:pt>
                <c:pt idx="5">
                  <c:v>128</c:v>
                </c:pt>
                <c:pt idx="6">
                  <c:v>740.56875000000002</c:v>
                </c:pt>
                <c:pt idx="7">
                  <c:v>401.99555555555554</c:v>
                </c:pt>
                <c:pt idx="8">
                  <c:v>227.5</c:v>
                </c:pt>
                <c:pt idx="9">
                  <c:v>0</c:v>
                </c:pt>
                <c:pt idx="10">
                  <c:v>350.7857575757576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(client)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6472854087683494"/>
                  <c:y val="0.1472234818815196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5526392534266703E-2"/>
                  <c:y val="-0.18118549971829523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9.9772285408768313E-2"/>
                  <c:y val="-0.17128698245180196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21395936619033887"/>
                  <c:y val="-1.2652705061082117E-3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6.5340721298726936E-2"/>
                  <c:y val="-3.4467713787085705E-3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2.0835277534752818E-2"/>
                  <c:y val="-2.2657377251927537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2335301837270338"/>
                  <c:y val="0.10612366189828425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Sheet1!$AJ$10:$AJ$20</c:f>
              <c:numCache>
                <c:formatCode>0.00</c:formatCode>
                <c:ptCount val="11"/>
                <c:pt idx="0">
                  <c:v>269.33333333333331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  <c:pt idx="4">
                  <c:v>204</c:v>
                </c:pt>
                <c:pt idx="5">
                  <c:v>50</c:v>
                </c:pt>
                <c:pt idx="6">
                  <c:v>0</c:v>
                </c:pt>
                <c:pt idx="7">
                  <c:v>30</c:v>
                </c:pt>
                <c:pt idx="8">
                  <c:v>102</c:v>
                </c:pt>
                <c:pt idx="9">
                  <c:v>0</c:v>
                </c:pt>
                <c:pt idx="10">
                  <c:v>337.16903225806453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(server)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7707421988918054"/>
                  <c:y val="4.68751288287916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7.5884125595411703E-2"/>
                  <c:y val="5.6735512772945272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21612447749586874"/>
                  <c:y val="-2.042743675365187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15579092543987574"/>
                  <c:y val="0.23591093979744834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988346942743269"/>
                  <c:y val="6.1082024432809932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2.222586759988356E-3"/>
                  <c:y val="-0.17905759162303664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-0.3631228735297008"/>
                  <c:y val="0.2501027194899068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Sheet1!$AQ$10:$AQ$20</c:f>
              <c:numCache>
                <c:formatCode>0.00</c:formatCode>
                <c:ptCount val="11"/>
                <c:pt idx="0">
                  <c:v>0</c:v>
                </c:pt>
                <c:pt idx="1">
                  <c:v>208</c:v>
                </c:pt>
                <c:pt idx="2">
                  <c:v>0</c:v>
                </c:pt>
                <c:pt idx="3">
                  <c:v>37.5</c:v>
                </c:pt>
                <c:pt idx="4">
                  <c:v>0</c:v>
                </c:pt>
                <c:pt idx="5">
                  <c:v>0</c:v>
                </c:pt>
                <c:pt idx="6">
                  <c:v>628.13090909090909</c:v>
                </c:pt>
                <c:pt idx="7">
                  <c:v>895.11111111111109</c:v>
                </c:pt>
                <c:pt idx="8">
                  <c:v>0</c:v>
                </c:pt>
                <c:pt idx="9">
                  <c:v>498</c:v>
                </c:pt>
                <c:pt idx="1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522" l="0.70000000000000062" r="0.70000000000000062" t="0.750000000000005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(client+ server) </a:t>
            </a:r>
            <a:r>
              <a:rPr lang="en-US" sz="1400" baseline="0"/>
              <a:t>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2012734519296211E-2"/>
                  <c:y val="2.069711835758751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7483960338291046E-2"/>
                  <c:y val="2.0609171235794481E-3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0.11043671624380302"/>
                  <c:y val="2.992160338596421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5539491591328861"/>
                  <c:y val="0.13146445699523299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3.8327986779430348E-2"/>
                  <c:y val="0.20698767366121121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8343248760571693"/>
                  <c:y val="-4.7867969383408433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5.8123116554875094E-3"/>
                  <c:y val="-0.1659685863874359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18272552736463488"/>
                  <c:y val="-6.099098542001654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5.960168173422796E-2"/>
                  <c:y val="0.16720568633109423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Sheet1!$AX$10:$AX$20</c:f>
              <c:numCache>
                <c:formatCode>0.00</c:formatCode>
                <c:ptCount val="11"/>
                <c:pt idx="0">
                  <c:v>269.33333333333331</c:v>
                </c:pt>
                <c:pt idx="1">
                  <c:v>175.71428571428572</c:v>
                </c:pt>
                <c:pt idx="2">
                  <c:v>0</c:v>
                </c:pt>
                <c:pt idx="3">
                  <c:v>37.5</c:v>
                </c:pt>
                <c:pt idx="4">
                  <c:v>204</c:v>
                </c:pt>
                <c:pt idx="5">
                  <c:v>50</c:v>
                </c:pt>
                <c:pt idx="6">
                  <c:v>628.13090909090909</c:v>
                </c:pt>
                <c:pt idx="7">
                  <c:v>910.19999999999993</c:v>
                </c:pt>
                <c:pt idx="8">
                  <c:v>102</c:v>
                </c:pt>
                <c:pt idx="9">
                  <c:v>498</c:v>
                </c:pt>
                <c:pt idx="10">
                  <c:v>337.16903225806453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533" l="0.70000000000000062" r="0.70000000000000062" t="0.750000000000005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IMPROMPTU: Contribution of Each Concern to</a:t>
            </a:r>
            <a:r>
              <a:rPr lang="en-US" sz="1200" baseline="0"/>
              <a:t> the Total Development Effort (LOC*CC)</a:t>
            </a:r>
            <a:endParaRPr lang="en-US" sz="1200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Sheet1!$B$110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Sheet1!$C$110:$I$110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37.5</c:v>
                </c:pt>
                <c:pt idx="5">
                  <c:v>37.5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Sheet1!$B$116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Sheet1!$C$116:$I$116</c:f>
              <c:numCache>
                <c:formatCode>0</c:formatCode>
                <c:ptCount val="7"/>
                <c:pt idx="0">
                  <c:v>1</c:v>
                </c:pt>
                <c:pt idx="1">
                  <c:v>42.5</c:v>
                </c:pt>
                <c:pt idx="2">
                  <c:v>128</c:v>
                </c:pt>
                <c:pt idx="3">
                  <c:v>5</c:v>
                </c:pt>
                <c:pt idx="4">
                  <c:v>50</c:v>
                </c:pt>
                <c:pt idx="5">
                  <c:v>0</c:v>
                </c:pt>
                <c:pt idx="6">
                  <c:v>50</c:v>
                </c:pt>
              </c:numCache>
            </c:numRef>
          </c:val>
        </c:ser>
        <c:ser>
          <c:idx val="2"/>
          <c:order val="2"/>
          <c:tx>
            <c:strRef>
              <c:f>Sheet1!$B$111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Sheet1!$C$111:$I$111</c:f>
              <c:numCache>
                <c:formatCode>0</c:formatCode>
                <c:ptCount val="7"/>
                <c:pt idx="0">
                  <c:v>0</c:v>
                </c:pt>
                <c:pt idx="1">
                  <c:v>174</c:v>
                </c:pt>
                <c:pt idx="2">
                  <c:v>106.71428571428571</c:v>
                </c:pt>
                <c:pt idx="3">
                  <c:v>425.33333333333331</c:v>
                </c:pt>
                <c:pt idx="4">
                  <c:v>269.33333333333331</c:v>
                </c:pt>
                <c:pt idx="5">
                  <c:v>0</c:v>
                </c:pt>
                <c:pt idx="6">
                  <c:v>269.33333333333331</c:v>
                </c:pt>
              </c:numCache>
            </c:numRef>
          </c:val>
        </c:ser>
        <c:ser>
          <c:idx val="3"/>
          <c:order val="3"/>
          <c:tx>
            <c:strRef>
              <c:f>Sheet1!$B$120</c:f>
              <c:strCache>
                <c:ptCount val="1"/>
                <c:pt idx="0">
                  <c:v>Topic Routing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Sheet1!$C$120:$I$120</c:f>
              <c:numCache>
                <c:formatCode>0</c:formatCode>
                <c:ptCount val="7"/>
                <c:pt idx="0">
                  <c:v>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Sheet1!$B$113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Sheet1!$C$113:$I$113</c:f>
              <c:numCache>
                <c:formatCode>0</c:formatCode>
                <c:ptCount val="7"/>
                <c:pt idx="0">
                  <c:v>452.89605263157898</c:v>
                </c:pt>
                <c:pt idx="1">
                  <c:v>452.89605263157898</c:v>
                </c:pt>
                <c:pt idx="2">
                  <c:v>452.89605263157898</c:v>
                </c:pt>
                <c:pt idx="3">
                  <c:v>452.89605263157898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Sheet1!$B$115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Sheet1!$C$115:$I$115</c:f>
              <c:numCache>
                <c:formatCode>0</c:formatCode>
                <c:ptCount val="7"/>
                <c:pt idx="0">
                  <c:v>204</c:v>
                </c:pt>
                <c:pt idx="1">
                  <c:v>204</c:v>
                </c:pt>
                <c:pt idx="2">
                  <c:v>208.86666666666667</c:v>
                </c:pt>
                <c:pt idx="3">
                  <c:v>204</c:v>
                </c:pt>
                <c:pt idx="4">
                  <c:v>204</c:v>
                </c:pt>
                <c:pt idx="5">
                  <c:v>0</c:v>
                </c:pt>
                <c:pt idx="6">
                  <c:v>204</c:v>
                </c:pt>
              </c:numCache>
            </c:numRef>
          </c:val>
        </c:ser>
        <c:ser>
          <c:idx val="6"/>
          <c:order val="6"/>
          <c:tx>
            <c:strRef>
              <c:f>Sheet1!$B$114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Sheet1!$C$114:$I$114</c:f>
              <c:numCache>
                <c:formatCode>0</c:formatCode>
                <c:ptCount val="7"/>
                <c:pt idx="0">
                  <c:v>89.833333333333329</c:v>
                </c:pt>
                <c:pt idx="1">
                  <c:v>206.18181818181819</c:v>
                </c:pt>
                <c:pt idx="2">
                  <c:v>142.13333333333333</c:v>
                </c:pt>
                <c:pt idx="3">
                  <c:v>432</c:v>
                </c:pt>
                <c:pt idx="4">
                  <c:v>250</c:v>
                </c:pt>
                <c:pt idx="5">
                  <c:v>208</c:v>
                </c:pt>
                <c:pt idx="6">
                  <c:v>42</c:v>
                </c:pt>
              </c:numCache>
            </c:numRef>
          </c:val>
        </c:ser>
        <c:ser>
          <c:idx val="7"/>
          <c:order val="7"/>
          <c:tx>
            <c:strRef>
              <c:f>Sheet1!$B$119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Sheet1!$C$119:$I$119</c:f>
              <c:numCache>
                <c:formatCode>0</c:formatCode>
                <c:ptCount val="7"/>
                <c:pt idx="0">
                  <c:v>76.5</c:v>
                </c:pt>
                <c:pt idx="1">
                  <c:v>102</c:v>
                </c:pt>
                <c:pt idx="2">
                  <c:v>227.5</c:v>
                </c:pt>
                <c:pt idx="3">
                  <c:v>80</c:v>
                </c:pt>
                <c:pt idx="4">
                  <c:v>102</c:v>
                </c:pt>
                <c:pt idx="5">
                  <c:v>0</c:v>
                </c:pt>
                <c:pt idx="6">
                  <c:v>102</c:v>
                </c:pt>
              </c:numCache>
            </c:numRef>
          </c:val>
        </c:ser>
        <c:ser>
          <c:idx val="8"/>
          <c:order val="8"/>
          <c:tx>
            <c:strRef>
              <c:f>Sheet1!$B$112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Sheet1!$C$112:$I$112</c:f>
              <c:numCache>
                <c:formatCode>0</c:formatCode>
                <c:ptCount val="7"/>
                <c:pt idx="0">
                  <c:v>298.65333333333336</c:v>
                </c:pt>
                <c:pt idx="1">
                  <c:v>302.15970873786409</c:v>
                </c:pt>
                <c:pt idx="2">
                  <c:v>350.7857575757576</c:v>
                </c:pt>
                <c:pt idx="3">
                  <c:v>589.58709677419358</c:v>
                </c:pt>
                <c:pt idx="4">
                  <c:v>337.16903225806453</c:v>
                </c:pt>
                <c:pt idx="5">
                  <c:v>0</c:v>
                </c:pt>
                <c:pt idx="6">
                  <c:v>337.16903225806453</c:v>
                </c:pt>
              </c:numCache>
            </c:numRef>
          </c:val>
        </c:ser>
        <c:ser>
          <c:idx val="9"/>
          <c:order val="9"/>
          <c:tx>
            <c:strRef>
              <c:f>Sheet1!$B$118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Sheet1!$C$118:$I$118</c:f>
              <c:numCache>
                <c:formatCode>0</c:formatCode>
                <c:ptCount val="7"/>
                <c:pt idx="0">
                  <c:v>342.17142857142858</c:v>
                </c:pt>
                <c:pt idx="1">
                  <c:v>342.17142857142858</c:v>
                </c:pt>
                <c:pt idx="2">
                  <c:v>401.99555555555554</c:v>
                </c:pt>
                <c:pt idx="3">
                  <c:v>305.36800000000005</c:v>
                </c:pt>
                <c:pt idx="4">
                  <c:v>925.11111111111109</c:v>
                </c:pt>
                <c:pt idx="5">
                  <c:v>895.11111111111109</c:v>
                </c:pt>
                <c:pt idx="6">
                  <c:v>30</c:v>
                </c:pt>
              </c:numCache>
            </c:numRef>
          </c:val>
        </c:ser>
        <c:ser>
          <c:idx val="10"/>
          <c:order val="10"/>
          <c:tx>
            <c:strRef>
              <c:f>Sheet1!$B$117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Sheet1!$C$117:$I$117</c:f>
              <c:numCache>
                <c:formatCode>0</c:formatCode>
                <c:ptCount val="7"/>
                <c:pt idx="0">
                  <c:v>729.22</c:v>
                </c:pt>
                <c:pt idx="1">
                  <c:v>738.1875</c:v>
                </c:pt>
                <c:pt idx="2">
                  <c:v>740.56875000000002</c:v>
                </c:pt>
                <c:pt idx="3">
                  <c:v>740.56875000000002</c:v>
                </c:pt>
                <c:pt idx="4">
                  <c:v>628.13090909090909</c:v>
                </c:pt>
                <c:pt idx="5">
                  <c:v>628.13090909090909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122697216"/>
        <c:axId val="122698752"/>
      </c:barChart>
      <c:catAx>
        <c:axId val="122697216"/>
        <c:scaling>
          <c:orientation val="minMax"/>
        </c:scaling>
        <c:axPos val="l"/>
        <c:majorTickMark val="none"/>
        <c:tickLblPos val="nextTo"/>
        <c:crossAx val="122698752"/>
        <c:crosses val="autoZero"/>
        <c:auto val="1"/>
        <c:lblAlgn val="ctr"/>
        <c:lblOffset val="100"/>
      </c:catAx>
      <c:valAx>
        <c:axId val="122698752"/>
        <c:scaling>
          <c:orientation val="minMax"/>
        </c:scaling>
        <c:axPos val="b"/>
        <c:majorGridlines/>
        <c:numFmt formatCode="#,##0" sourceLinked="0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226972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IMPROMPTU: Relative Contribution of Each Concern to the Each Project Size 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Sheet1!$B$124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Sheet1!$C$124:$I$124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1.167479599690917E-2</c:v>
                </c:pt>
                <c:pt idx="5">
                  <c:v>1.6543567669274454E-2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Sheet1!$B$129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Sheet1!$C$129:$I$129</c:f>
              <c:numCache>
                <c:formatCode>0.00%</c:formatCode>
                <c:ptCount val="7"/>
                <c:pt idx="0">
                  <c:v>4.3662895157340085E-4</c:v>
                </c:pt>
                <c:pt idx="1">
                  <c:v>1.6575039147460363E-2</c:v>
                </c:pt>
                <c:pt idx="2">
                  <c:v>4.6385880345113775E-2</c:v>
                </c:pt>
                <c:pt idx="3">
                  <c:v>1.5457129617785803E-3</c:v>
                </c:pt>
                <c:pt idx="4">
                  <c:v>1.5566394662545559E-2</c:v>
                </c:pt>
                <c:pt idx="5">
                  <c:v>0</c:v>
                </c:pt>
                <c:pt idx="6">
                  <c:v>4.833241726945333E-2</c:v>
                </c:pt>
              </c:numCache>
            </c:numRef>
          </c:val>
        </c:ser>
        <c:ser>
          <c:idx val="2"/>
          <c:order val="2"/>
          <c:tx>
            <c:strRef>
              <c:f>Sheet1!$B$130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Sheet1!$C$130:$I$130</c:f>
              <c:numCache>
                <c:formatCode>0.00%</c:formatCode>
                <c:ptCount val="7"/>
                <c:pt idx="0">
                  <c:v>4.191637935104648E-2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0.15504129083895377</c:v>
                </c:pt>
                <c:pt idx="5">
                  <c:v>0.21969857864796472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Sheet1!$B$128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Sheet1!$C$128:$I$128</c:f>
              <c:numCache>
                <c:formatCode>0.00%</c:formatCode>
                <c:ptCount val="7"/>
                <c:pt idx="0">
                  <c:v>3.9223834149677179E-2</c:v>
                </c:pt>
                <c:pt idx="1">
                  <c:v>8.0411099008428036E-2</c:v>
                </c:pt>
                <c:pt idx="2">
                  <c:v>5.1507654633220087E-2</c:v>
                </c:pt>
                <c:pt idx="3">
                  <c:v>0.13354959989766935</c:v>
                </c:pt>
                <c:pt idx="4">
                  <c:v>5.4704758385517249E-2</c:v>
                </c:pt>
                <c:pt idx="5">
                  <c:v>9.1761655338908968E-2</c:v>
                </c:pt>
                <c:pt idx="6">
                  <c:v>4.0599230506340796E-2</c:v>
                </c:pt>
              </c:numCache>
            </c:numRef>
          </c:val>
        </c:ser>
        <c:ser>
          <c:idx val="4"/>
          <c:order val="4"/>
          <c:tx>
            <c:strRef>
              <c:f>Sheet1!$B$131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Sheet1!$C$131:$I$131</c:f>
              <c:numCache>
                <c:formatCode>0.00%</c:formatCode>
                <c:ptCount val="7"/>
                <c:pt idx="0">
                  <c:v>8.9072306120973777E-2</c:v>
                </c:pt>
                <c:pt idx="1">
                  <c:v>7.9560187907809748E-2</c:v>
                </c:pt>
                <c:pt idx="2">
                  <c:v>7.5691126625646601E-2</c:v>
                </c:pt>
                <c:pt idx="3">
                  <c:v>6.306508884056608E-2</c:v>
                </c:pt>
                <c:pt idx="4">
                  <c:v>6.3510890223185887E-2</c:v>
                </c:pt>
                <c:pt idx="5">
                  <c:v>0</c:v>
                </c:pt>
                <c:pt idx="6">
                  <c:v>0.19719626245936958</c:v>
                </c:pt>
              </c:numCache>
            </c:numRef>
          </c:val>
        </c:ser>
        <c:ser>
          <c:idx val="5"/>
          <c:order val="5"/>
          <c:tx>
            <c:strRef>
              <c:f>Sheet1!$B$125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Sheet1!$C$125:$I$125</c:f>
              <c:numCache>
                <c:formatCode>0.00%</c:formatCode>
                <c:ptCount val="7"/>
                <c:pt idx="0">
                  <c:v>0</c:v>
                </c:pt>
                <c:pt idx="1">
                  <c:v>6.7860160274308315E-2</c:v>
                </c:pt>
                <c:pt idx="2">
                  <c:v>3.8672156939508914E-2</c:v>
                </c:pt>
                <c:pt idx="3">
                  <c:v>0.13148864928196455</c:v>
                </c:pt>
                <c:pt idx="4">
                  <c:v>8.3850979248912078E-2</c:v>
                </c:pt>
                <c:pt idx="5">
                  <c:v>0</c:v>
                </c:pt>
                <c:pt idx="6">
                  <c:v>0.26035062102478856</c:v>
                </c:pt>
              </c:numCache>
            </c:numRef>
          </c:val>
        </c:ser>
        <c:ser>
          <c:idx val="6"/>
          <c:order val="6"/>
          <c:tx>
            <c:strRef>
              <c:f>Sheet1!$B$132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Sheet1!$C$132:$I$132</c:f>
              <c:numCache>
                <c:formatCode>0.00%</c:formatCode>
                <c:ptCount val="7"/>
                <c:pt idx="0">
                  <c:v>3.3402114795365166E-2</c:v>
                </c:pt>
                <c:pt idx="1">
                  <c:v>3.9780093953904874E-2</c:v>
                </c:pt>
                <c:pt idx="2">
                  <c:v>8.2443654519635812E-2</c:v>
                </c:pt>
                <c:pt idx="3">
                  <c:v>2.4731407388457284E-2</c:v>
                </c:pt>
                <c:pt idx="4">
                  <c:v>3.1755445111592943E-2</c:v>
                </c:pt>
                <c:pt idx="5">
                  <c:v>0</c:v>
                </c:pt>
                <c:pt idx="6">
                  <c:v>9.8598131229684791E-2</c:v>
                </c:pt>
              </c:numCache>
            </c:numRef>
          </c:val>
        </c:ser>
        <c:ser>
          <c:idx val="7"/>
          <c:order val="7"/>
          <c:tx>
            <c:strRef>
              <c:f>Sheet1!$B$127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Sheet1!$C$127:$I$127</c:f>
              <c:numCache>
                <c:formatCode>0.00%</c:formatCode>
                <c:ptCount val="7"/>
                <c:pt idx="0">
                  <c:v>0.19774752863225811</c:v>
                </c:pt>
                <c:pt idx="1">
                  <c:v>0.17662987769643979</c:v>
                </c:pt>
                <c:pt idx="2">
                  <c:v>0.16412486020424041</c:v>
                </c:pt>
                <c:pt idx="3">
                  <c:v>0.14000945977819715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Sheet1!$B$126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Sheet1!$C$126:$I$126</c:f>
              <c:numCache>
                <c:formatCode>0.00%</c:formatCode>
                <c:ptCount val="7"/>
                <c:pt idx="0">
                  <c:v>0.13040069181723477</c:v>
                </c:pt>
                <c:pt idx="1">
                  <c:v>0.11784256473212515</c:v>
                </c:pt>
                <c:pt idx="2">
                  <c:v>0.12712114201311858</c:v>
                </c:pt>
                <c:pt idx="3">
                  <c:v>0.18226648351625466</c:v>
                </c:pt>
                <c:pt idx="4">
                  <c:v>0.10497012448235174</c:v>
                </c:pt>
                <c:pt idx="5">
                  <c:v>0</c:v>
                </c:pt>
                <c:pt idx="6">
                  <c:v>0.32592388714869092</c:v>
                </c:pt>
              </c:numCache>
            </c:numRef>
          </c:val>
        </c:ser>
        <c:ser>
          <c:idx val="9"/>
          <c:order val="9"/>
          <c:tx>
            <c:strRef>
              <c:f>Sheet1!$B$133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Sheet1!$C$133:$I$133</c:f>
              <c:numCache>
                <c:formatCode>0.00%</c:formatCode>
                <c:ptCount val="7"/>
                <c:pt idx="0">
                  <c:v>0.14940195211551568</c:v>
                </c:pt>
                <c:pt idx="1">
                  <c:v>0.13344717232267922</c:v>
                </c:pt>
                <c:pt idx="2">
                  <c:v>0.14567904483802763</c:v>
                </c:pt>
                <c:pt idx="3">
                  <c:v>9.4402255142480324E-2</c:v>
                </c:pt>
                <c:pt idx="4">
                  <c:v>0.28337064843697934</c:v>
                </c:pt>
                <c:pt idx="5">
                  <c:v>0.39488883301829625</c:v>
                </c:pt>
                <c:pt idx="6">
                  <c:v>2.8999450361671997E-2</c:v>
                </c:pt>
              </c:numCache>
            </c:numRef>
          </c:val>
        </c:ser>
        <c:ser>
          <c:idx val="10"/>
          <c:order val="10"/>
          <c:tx>
            <c:strRef>
              <c:f>Sheet1!$B$134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(Cli.+Serv.)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Sheet1!$C$134:$I$134</c:f>
              <c:numCache>
                <c:formatCode>0.00%</c:formatCode>
                <c:ptCount val="7"/>
                <c:pt idx="0">
                  <c:v>0.31839856406635542</c:v>
                </c:pt>
                <c:pt idx="1">
                  <c:v>0.28789380495684463</c:v>
                </c:pt>
                <c:pt idx="2">
                  <c:v>0.2683744798814881</c:v>
                </c:pt>
                <c:pt idx="3">
                  <c:v>0.22894134319263221</c:v>
                </c:pt>
                <c:pt idx="4">
                  <c:v>0.19555467261305234</c:v>
                </c:pt>
                <c:pt idx="5">
                  <c:v>0.27710736532555558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122758656"/>
        <c:axId val="122760192"/>
      </c:barChart>
      <c:catAx>
        <c:axId val="122758656"/>
        <c:scaling>
          <c:orientation val="minMax"/>
        </c:scaling>
        <c:axPos val="l"/>
        <c:majorTickMark val="none"/>
        <c:tickLblPos val="nextTo"/>
        <c:crossAx val="122760192"/>
        <c:crosses val="autoZero"/>
        <c:auto val="1"/>
        <c:lblAlgn val="ctr"/>
        <c:lblOffset val="100"/>
      </c:catAx>
      <c:valAx>
        <c:axId val="122760192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12275865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23</xdr:row>
      <xdr:rowOff>45720</xdr:rowOff>
    </xdr:from>
    <xdr:to>
      <xdr:col>8</xdr:col>
      <xdr:colOff>548640</xdr:colOff>
      <xdr:row>39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23</xdr:row>
      <xdr:rowOff>38100</xdr:rowOff>
    </xdr:from>
    <xdr:to>
      <xdr:col>15</xdr:col>
      <xdr:colOff>518160</xdr:colOff>
      <xdr:row>39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</xdr:colOff>
      <xdr:row>23</xdr:row>
      <xdr:rowOff>49530</xdr:rowOff>
    </xdr:from>
    <xdr:to>
      <xdr:col>22</xdr:col>
      <xdr:colOff>525780</xdr:colOff>
      <xdr:row>39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163830</xdr:colOff>
      <xdr:row>23</xdr:row>
      <xdr:rowOff>59055</xdr:rowOff>
    </xdr:from>
    <xdr:to>
      <xdr:col>30</xdr:col>
      <xdr:colOff>11430</xdr:colOff>
      <xdr:row>39</xdr:row>
      <xdr:rowOff>74295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125730</xdr:colOff>
      <xdr:row>23</xdr:row>
      <xdr:rowOff>59055</xdr:rowOff>
    </xdr:from>
    <xdr:to>
      <xdr:col>36</xdr:col>
      <xdr:colOff>582930</xdr:colOff>
      <xdr:row>39</xdr:row>
      <xdr:rowOff>74295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135255</xdr:colOff>
      <xdr:row>23</xdr:row>
      <xdr:rowOff>68580</xdr:rowOff>
    </xdr:from>
    <xdr:to>
      <xdr:col>43</xdr:col>
      <xdr:colOff>592455</xdr:colOff>
      <xdr:row>39</xdr:row>
      <xdr:rowOff>83820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116205</xdr:colOff>
      <xdr:row>23</xdr:row>
      <xdr:rowOff>40005</xdr:rowOff>
    </xdr:from>
    <xdr:to>
      <xdr:col>50</xdr:col>
      <xdr:colOff>573405</xdr:colOff>
      <xdr:row>39</xdr:row>
      <xdr:rowOff>55245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76200</xdr:colOff>
      <xdr:row>146</xdr:row>
      <xdr:rowOff>152400</xdr:rowOff>
    </xdr:from>
    <xdr:to>
      <xdr:col>11</xdr:col>
      <xdr:colOff>419100</xdr:colOff>
      <xdr:row>164</xdr:row>
      <xdr:rowOff>123825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590548</xdr:colOff>
      <xdr:row>147</xdr:row>
      <xdr:rowOff>19050</xdr:rowOff>
    </xdr:from>
    <xdr:to>
      <xdr:col>21</xdr:col>
      <xdr:colOff>590550</xdr:colOff>
      <xdr:row>164</xdr:row>
      <xdr:rowOff>171450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38100</xdr:colOff>
      <xdr:row>166</xdr:row>
      <xdr:rowOff>161925</xdr:rowOff>
    </xdr:from>
    <xdr:to>
      <xdr:col>11</xdr:col>
      <xdr:colOff>400052</xdr:colOff>
      <xdr:row>184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76199</xdr:colOff>
      <xdr:row>166</xdr:row>
      <xdr:rowOff>161925</xdr:rowOff>
    </xdr:from>
    <xdr:to>
      <xdr:col>21</xdr:col>
      <xdr:colOff>590550</xdr:colOff>
      <xdr:row>184</xdr:row>
      <xdr:rowOff>85725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619125</xdr:colOff>
      <xdr:row>122</xdr:row>
      <xdr:rowOff>85725</xdr:rowOff>
    </xdr:from>
    <xdr:to>
      <xdr:col>23</xdr:col>
      <xdr:colOff>581025</xdr:colOff>
      <xdr:row>139</xdr:row>
      <xdr:rowOff>152400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628650</xdr:colOff>
      <xdr:row>102</xdr:row>
      <xdr:rowOff>66675</xdr:rowOff>
    </xdr:from>
    <xdr:to>
      <xdr:col>23</xdr:col>
      <xdr:colOff>352425</xdr:colOff>
      <xdr:row>121</xdr:row>
      <xdr:rowOff>95250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66674</xdr:colOff>
      <xdr:row>78</xdr:row>
      <xdr:rowOff>171450</xdr:rowOff>
    </xdr:from>
    <xdr:to>
      <xdr:col>22</xdr:col>
      <xdr:colOff>57149</xdr:colOff>
      <xdr:row>97</xdr:row>
      <xdr:rowOff>171450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76200</xdr:colOff>
      <xdr:row>186</xdr:row>
      <xdr:rowOff>171450</xdr:rowOff>
    </xdr:from>
    <xdr:to>
      <xdr:col>6</xdr:col>
      <xdr:colOff>781050</xdr:colOff>
      <xdr:row>202</xdr:row>
      <xdr:rowOff>19050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24</xdr:col>
      <xdr:colOff>47624</xdr:colOff>
      <xdr:row>102</xdr:row>
      <xdr:rowOff>57150</xdr:rowOff>
    </xdr:from>
    <xdr:to>
      <xdr:col>35</xdr:col>
      <xdr:colOff>0</xdr:colOff>
      <xdr:row>121</xdr:row>
      <xdr:rowOff>76200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276"/>
  <sheetViews>
    <sheetView tabSelected="1" topLeftCell="A55" zoomScale="80" zoomScaleNormal="80" workbookViewId="0">
      <pane xSplit="1872" topLeftCell="C1" activePane="topRight"/>
      <selection activeCell="AI110" sqref="AI110"/>
      <selection pane="topRight" activeCell="P71" sqref="P71"/>
    </sheetView>
  </sheetViews>
  <sheetFormatPr defaultRowHeight="14.4"/>
  <cols>
    <col min="1" max="1" width="18" customWidth="1"/>
    <col min="2" max="2" width="17.77734375" customWidth="1"/>
    <col min="3" max="3" width="16" customWidth="1"/>
    <col min="4" max="4" width="11" bestFit="1" customWidth="1"/>
    <col min="7" max="7" width="12" customWidth="1"/>
    <col min="8" max="8" width="12.33203125" customWidth="1"/>
    <col min="14" max="14" width="13.109375" customWidth="1"/>
  </cols>
  <sheetData>
    <row r="1" spans="1:51" ht="21">
      <c r="A1" s="2" t="s">
        <v>43</v>
      </c>
      <c r="C1" s="2"/>
      <c r="D1" s="2"/>
      <c r="E1" s="2"/>
      <c r="F1" s="2"/>
      <c r="G1" s="2"/>
    </row>
    <row r="4" spans="1:51">
      <c r="B4" t="s">
        <v>20</v>
      </c>
    </row>
    <row r="6" spans="1:51">
      <c r="A6" s="1" t="s">
        <v>54</v>
      </c>
      <c r="B6" s="1" t="s">
        <v>14</v>
      </c>
      <c r="C6" s="65" t="s">
        <v>13</v>
      </c>
      <c r="D6" s="66"/>
      <c r="E6" s="66"/>
      <c r="F6" s="66"/>
      <c r="G6" s="66"/>
      <c r="H6" s="66"/>
      <c r="I6" s="67"/>
      <c r="J6" s="65" t="s">
        <v>19</v>
      </c>
      <c r="K6" s="66"/>
      <c r="L6" s="66"/>
      <c r="M6" s="66"/>
      <c r="N6" s="66"/>
      <c r="O6" s="66"/>
      <c r="P6" s="67"/>
      <c r="Q6" s="65" t="s">
        <v>22</v>
      </c>
      <c r="R6" s="66"/>
      <c r="S6" s="66"/>
      <c r="T6" s="66"/>
      <c r="U6" s="66"/>
      <c r="V6" s="66"/>
      <c r="W6" s="67"/>
      <c r="X6" s="65" t="s">
        <v>23</v>
      </c>
      <c r="Y6" s="66"/>
      <c r="Z6" s="66"/>
      <c r="AA6" s="66"/>
      <c r="AB6" s="66"/>
      <c r="AC6" s="66"/>
      <c r="AD6" s="67"/>
      <c r="AE6" s="65" t="s">
        <v>49</v>
      </c>
      <c r="AF6" s="66"/>
      <c r="AG6" s="66"/>
      <c r="AH6" s="66"/>
      <c r="AI6" s="66"/>
      <c r="AJ6" s="66"/>
      <c r="AK6" s="67"/>
      <c r="AL6" s="65" t="s">
        <v>48</v>
      </c>
      <c r="AM6" s="66"/>
      <c r="AN6" s="66"/>
      <c r="AO6" s="66"/>
      <c r="AP6" s="66"/>
      <c r="AQ6" s="66"/>
      <c r="AR6" s="67"/>
      <c r="AS6" s="65" t="s">
        <v>98</v>
      </c>
      <c r="AT6" s="66"/>
      <c r="AU6" s="66"/>
      <c r="AV6" s="66"/>
      <c r="AW6" s="66"/>
      <c r="AX6" s="66"/>
      <c r="AY6" s="67"/>
    </row>
    <row r="7" spans="1:51">
      <c r="B7" s="1" t="s">
        <v>0</v>
      </c>
      <c r="C7" s="12" t="s">
        <v>1</v>
      </c>
      <c r="D7" s="13" t="s">
        <v>2</v>
      </c>
      <c r="E7" s="13" t="s">
        <v>3</v>
      </c>
      <c r="F7" s="13" t="s">
        <v>15</v>
      </c>
      <c r="G7" s="13" t="s">
        <v>4</v>
      </c>
      <c r="H7" s="13" t="s">
        <v>16</v>
      </c>
      <c r="I7" s="14" t="s">
        <v>18</v>
      </c>
      <c r="J7" s="12" t="s">
        <v>1</v>
      </c>
      <c r="K7" s="13" t="s">
        <v>2</v>
      </c>
      <c r="L7" s="13" t="s">
        <v>3</v>
      </c>
      <c r="M7" s="13" t="s">
        <v>15</v>
      </c>
      <c r="N7" s="13" t="s">
        <v>4</v>
      </c>
      <c r="O7" s="13" t="s">
        <v>16</v>
      </c>
      <c r="P7" s="14" t="s">
        <v>18</v>
      </c>
      <c r="Q7" s="12" t="s">
        <v>1</v>
      </c>
      <c r="R7" s="13" t="s">
        <v>2</v>
      </c>
      <c r="S7" s="13" t="s">
        <v>3</v>
      </c>
      <c r="T7" s="13" t="s">
        <v>15</v>
      </c>
      <c r="U7" s="13" t="s">
        <v>4</v>
      </c>
      <c r="V7" s="13" t="s">
        <v>16</v>
      </c>
      <c r="W7" s="14" t="s">
        <v>18</v>
      </c>
      <c r="X7" s="12" t="s">
        <v>1</v>
      </c>
      <c r="Y7" s="13" t="s">
        <v>2</v>
      </c>
      <c r="Z7" s="13" t="s">
        <v>3</v>
      </c>
      <c r="AA7" s="13" t="s">
        <v>15</v>
      </c>
      <c r="AB7" s="13" t="s">
        <v>4</v>
      </c>
      <c r="AC7" s="13" t="s">
        <v>16</v>
      </c>
      <c r="AD7" s="14" t="s">
        <v>18</v>
      </c>
      <c r="AE7" s="12" t="s">
        <v>1</v>
      </c>
      <c r="AF7" s="13" t="s">
        <v>2</v>
      </c>
      <c r="AG7" s="13" t="s">
        <v>3</v>
      </c>
      <c r="AH7" s="13" t="s">
        <v>15</v>
      </c>
      <c r="AI7" s="13" t="s">
        <v>4</v>
      </c>
      <c r="AJ7" s="13" t="s">
        <v>16</v>
      </c>
      <c r="AK7" s="14" t="s">
        <v>18</v>
      </c>
      <c r="AL7" s="12" t="s">
        <v>1</v>
      </c>
      <c r="AM7" s="13" t="s">
        <v>2</v>
      </c>
      <c r="AN7" s="13" t="s">
        <v>3</v>
      </c>
      <c r="AO7" s="13" t="s">
        <v>15</v>
      </c>
      <c r="AP7" s="13" t="s">
        <v>4</v>
      </c>
      <c r="AQ7" s="13" t="s">
        <v>16</v>
      </c>
      <c r="AR7" s="14" t="s">
        <v>18</v>
      </c>
      <c r="AS7" s="12" t="s">
        <v>1</v>
      </c>
      <c r="AT7" s="13" t="s">
        <v>2</v>
      </c>
      <c r="AU7" s="13" t="s">
        <v>3</v>
      </c>
      <c r="AV7" s="13" t="s">
        <v>15</v>
      </c>
      <c r="AW7" s="13" t="s">
        <v>4</v>
      </c>
      <c r="AX7" s="13" t="s">
        <v>16</v>
      </c>
      <c r="AY7" s="14" t="s">
        <v>18</v>
      </c>
    </row>
    <row r="8" spans="1:51">
      <c r="B8" s="1" t="s">
        <v>44</v>
      </c>
      <c r="C8" s="27">
        <f>(79+210+118+172+66+70+319)+199</f>
        <v>1233</v>
      </c>
      <c r="D8" s="30">
        <f>((4*1+32*1.15+6*3.16+11*2.54+13*2.33+5*2+24*2.25)+(25*1.68))/G8</f>
        <v>1.8665833333333335</v>
      </c>
      <c r="E8" s="28">
        <f>(1+5+1+1+1+2+5)+5</f>
        <v>21</v>
      </c>
      <c r="F8" s="28">
        <f>(7+0+1+1+2+0+2)+0</f>
        <v>13</v>
      </c>
      <c r="G8" s="28">
        <f>((4+32+6+11+13+5+24)+(25))</f>
        <v>120</v>
      </c>
      <c r="H8" s="28">
        <f>C8*D8</f>
        <v>2301.4972500000003</v>
      </c>
      <c r="I8" s="29"/>
      <c r="J8" s="27">
        <f>(79+210+118+172+66+70+319)+286+51</f>
        <v>1371</v>
      </c>
      <c r="K8" s="30">
        <f>((4*1+32*1.15+6*3.16+11*2.54+13*2.33+5*2+24*2.25)+(6*1.8+2*4))/N8</f>
        <v>1.9494174757281555</v>
      </c>
      <c r="L8" s="28">
        <f>(1+5+1+1+1+2+5)+6+1</f>
        <v>23</v>
      </c>
      <c r="M8" s="28">
        <f>(7+0+1+1+2+0+2)+0+0</f>
        <v>13</v>
      </c>
      <c r="N8" s="28">
        <f>((4+32+6+11+13+5+24)+(6+2))</f>
        <v>103</v>
      </c>
      <c r="O8" s="28">
        <f>J8*K8</f>
        <v>2672.6513592233014</v>
      </c>
      <c r="P8" s="29"/>
      <c r="Q8" s="27">
        <f>(79+210+118+172+66+70+319)+434+92</f>
        <v>1560</v>
      </c>
      <c r="R8" s="30">
        <f>((4*1+32*1.15+6*3.16+11*2.54+13*2.33+5*2+24*2.25)+(27*2.18+2*6.5))/U8</f>
        <v>2.0471774193548389</v>
      </c>
      <c r="S8" s="28">
        <f>(1+5+1+1+1+2+5)+7+1</f>
        <v>24</v>
      </c>
      <c r="T8" s="28">
        <f>(7+0+1+1+2+0+2)+0+0</f>
        <v>13</v>
      </c>
      <c r="U8" s="28">
        <f>((4+32+6+11+13+5+24)+(27+2))</f>
        <v>124</v>
      </c>
      <c r="V8" s="28">
        <f>Q8*R8</f>
        <v>3193.5967741935488</v>
      </c>
      <c r="W8" s="29"/>
      <c r="X8" s="27">
        <f>(79+210+118+172+66+70+319)+399+25</f>
        <v>1458</v>
      </c>
      <c r="Y8" s="30">
        <f>((4*1+32*1.15+6*3.16+11*2.54+13*2.33+5*2+24*2.25)+(34*2.05+3*2.33))/AB8</f>
        <v>1.9596969696969697</v>
      </c>
      <c r="Z8" s="28">
        <f>(1+5+1+1+1+2+5)+8+1</f>
        <v>25</v>
      </c>
      <c r="AA8" s="28">
        <f>(7+0+1+1+2+0+2)+1+0</f>
        <v>14</v>
      </c>
      <c r="AB8" s="28">
        <f>((4+32+6+11+13+5+24)+(34+3))</f>
        <v>132</v>
      </c>
      <c r="AC8" s="28">
        <f>X8*Y8</f>
        <v>2857.2381818181821</v>
      </c>
      <c r="AD8" s="29"/>
      <c r="AE8" s="27">
        <f>(79+210)+275+68</f>
        <v>632</v>
      </c>
      <c r="AF8" s="30">
        <f>((4*1+32*1.15)+(22*2.09+4*2.5))/AI8</f>
        <v>1.5609677419354839</v>
      </c>
      <c r="AG8" s="28">
        <f>(1+5)+4+1</f>
        <v>11</v>
      </c>
      <c r="AH8" s="28">
        <v>7</v>
      </c>
      <c r="AI8" s="28">
        <f>(4+32)+22+4</f>
        <v>62</v>
      </c>
      <c r="AJ8" s="28">
        <f>AE8*AF8</f>
        <v>986.53161290322589</v>
      </c>
      <c r="AK8" s="29"/>
      <c r="AL8" s="27">
        <f>330+129+83+93+188+(19+33)</f>
        <v>875</v>
      </c>
      <c r="AM8" s="30">
        <f>(28*2.78+5*4+4*4.5+5*2+8*3.5+2*4)/AP8</f>
        <v>3.112307692307692</v>
      </c>
      <c r="AN8" s="28">
        <f>3+1+1+2+2</f>
        <v>9</v>
      </c>
      <c r="AO8" s="28">
        <f>0+0+0+1+0</f>
        <v>1</v>
      </c>
      <c r="AP8" s="28">
        <f>(28+5+4+5+8)+(2)</f>
        <v>52</v>
      </c>
      <c r="AQ8" s="30">
        <f>AL8*AM8</f>
        <v>2723.2692307692305</v>
      </c>
      <c r="AR8" s="29"/>
      <c r="AS8" s="27">
        <f>AE8+AL8</f>
        <v>1507</v>
      </c>
      <c r="AT8" s="30">
        <f>(AP8*AM8+AI8*AF8)/AW8</f>
        <v>2.2685964912280703</v>
      </c>
      <c r="AU8" s="28">
        <f>AN8+AG8</f>
        <v>20</v>
      </c>
      <c r="AV8" s="28">
        <f>AO8+AH8</f>
        <v>8</v>
      </c>
      <c r="AW8" s="28">
        <f>AP8+AI8</f>
        <v>114</v>
      </c>
      <c r="AX8" s="30">
        <f>AS8*AT8</f>
        <v>3418.7749122807018</v>
      </c>
      <c r="AY8" s="29"/>
    </row>
    <row r="9" spans="1:51">
      <c r="B9" s="1"/>
      <c r="C9" s="27"/>
      <c r="D9" s="28"/>
      <c r="E9" s="28"/>
      <c r="F9" s="28"/>
      <c r="G9" s="28"/>
      <c r="H9" s="28"/>
      <c r="I9" s="29"/>
      <c r="J9" s="27"/>
      <c r="K9" s="28"/>
      <c r="L9" s="28"/>
      <c r="M9" s="28"/>
      <c r="N9" s="28"/>
      <c r="O9" s="28"/>
      <c r="P9" s="29"/>
      <c r="Q9" s="27"/>
      <c r="R9" s="28"/>
      <c r="S9" s="28"/>
      <c r="T9" s="28"/>
      <c r="U9" s="28"/>
      <c r="V9" s="28"/>
      <c r="W9" s="29"/>
      <c r="X9" s="27"/>
      <c r="Y9" s="28"/>
      <c r="Z9" s="28"/>
      <c r="AA9" s="28"/>
      <c r="AB9" s="28"/>
      <c r="AC9" s="28"/>
      <c r="AD9" s="29"/>
      <c r="AE9" s="27"/>
      <c r="AF9" s="28"/>
      <c r="AG9" s="28"/>
      <c r="AH9" s="28"/>
      <c r="AI9" s="28"/>
      <c r="AJ9" s="28"/>
      <c r="AK9" s="29"/>
      <c r="AL9" s="27"/>
      <c r="AM9" s="28"/>
      <c r="AN9" s="28"/>
      <c r="AO9" s="28"/>
      <c r="AP9" s="28"/>
      <c r="AQ9" s="28"/>
      <c r="AR9" s="29"/>
      <c r="AS9" s="27"/>
      <c r="AT9" s="28"/>
      <c r="AU9" s="28"/>
      <c r="AV9" s="28"/>
      <c r="AW9" s="28"/>
      <c r="AX9" s="28"/>
      <c r="AY9" s="29"/>
    </row>
    <row r="10" spans="1:51">
      <c r="A10" t="s">
        <v>5</v>
      </c>
      <c r="B10" s="3" t="s">
        <v>5</v>
      </c>
      <c r="C10" s="4">
        <v>0</v>
      </c>
      <c r="D10" s="5">
        <v>0</v>
      </c>
      <c r="E10" s="6">
        <v>0</v>
      </c>
      <c r="F10" s="21">
        <v>0</v>
      </c>
      <c r="G10" s="21">
        <v>0</v>
      </c>
      <c r="H10" s="5">
        <f>C10*D10</f>
        <v>0</v>
      </c>
      <c r="I10" s="7">
        <f t="shared" ref="I10:I20" si="0">H10/$H$22</f>
        <v>0</v>
      </c>
      <c r="J10" s="4">
        <f>70+17</f>
        <v>87</v>
      </c>
      <c r="K10" s="6">
        <f>(5*1.8+1*3)/N10</f>
        <v>2</v>
      </c>
      <c r="L10" s="6">
        <v>2</v>
      </c>
      <c r="M10" s="6">
        <v>0</v>
      </c>
      <c r="N10" s="6">
        <v>6</v>
      </c>
      <c r="O10" s="16">
        <f t="shared" ref="O10:O19" si="1">J10*K10</f>
        <v>174</v>
      </c>
      <c r="P10" s="7">
        <f t="shared" ref="P10:P20" si="2">O10/$O$22</f>
        <v>6.7860160274308315E-2</v>
      </c>
      <c r="Q10" s="4">
        <f>87+29</f>
        <v>116</v>
      </c>
      <c r="R10" s="5">
        <f>(2*3.5+1*4)/U10</f>
        <v>3.6666666666666665</v>
      </c>
      <c r="S10" s="6">
        <v>2</v>
      </c>
      <c r="T10" s="6">
        <v>0</v>
      </c>
      <c r="U10" s="6">
        <v>3</v>
      </c>
      <c r="V10" s="16">
        <f t="shared" ref="V10:V19" si="3">Q10*R10</f>
        <v>425.33333333333331</v>
      </c>
      <c r="W10" s="7">
        <f t="shared" ref="W10:W20" si="4">V10/$V$22</f>
        <v>0.13148864928196455</v>
      </c>
      <c r="X10" s="4">
        <f>68+7</f>
        <v>75</v>
      </c>
      <c r="Y10" s="5">
        <f>(6*1.16+3)/AB10</f>
        <v>1.4228571428571428</v>
      </c>
      <c r="Z10" s="6">
        <v>2</v>
      </c>
      <c r="AA10" s="6">
        <v>0</v>
      </c>
      <c r="AB10" s="6">
        <v>7</v>
      </c>
      <c r="AC10" s="16">
        <f t="shared" ref="AC10:AC19" si="5">X10*Y10</f>
        <v>106.71428571428571</v>
      </c>
      <c r="AD10" s="7">
        <f t="shared" ref="AD10:AD20" si="6">AC10/$AC$22</f>
        <v>3.8672156939508914E-2</v>
      </c>
      <c r="AE10" s="4">
        <f>86+15</f>
        <v>101</v>
      </c>
      <c r="AF10" s="5">
        <f>(5*2.4+4)/AI10</f>
        <v>2.6666666666666665</v>
      </c>
      <c r="AG10" s="6">
        <v>2</v>
      </c>
      <c r="AH10" s="6">
        <v>0</v>
      </c>
      <c r="AI10" s="6">
        <v>6</v>
      </c>
      <c r="AJ10" s="16">
        <f t="shared" ref="AJ10:AJ19" si="7">AE10*AF10</f>
        <v>269.33333333333331</v>
      </c>
      <c r="AK10" s="7">
        <f t="shared" ref="AK10:AK20" si="8">AJ10/$AJ$22</f>
        <v>0.26035062102478856</v>
      </c>
      <c r="AL10" s="4">
        <v>0</v>
      </c>
      <c r="AM10" s="5">
        <v>0</v>
      </c>
      <c r="AN10" s="6">
        <v>0</v>
      </c>
      <c r="AO10" s="6">
        <v>0</v>
      </c>
      <c r="AP10" s="21">
        <v>0</v>
      </c>
      <c r="AQ10" s="16">
        <f>AL10*AM10</f>
        <v>0</v>
      </c>
      <c r="AR10" s="7">
        <f t="shared" ref="AR10:AR20" si="9">AQ10/$AQ$22</f>
        <v>0</v>
      </c>
      <c r="AS10" s="4">
        <f>AL10+AE10</f>
        <v>101</v>
      </c>
      <c r="AT10" s="5">
        <f>IF((AP10+AI10 = 0), 0, (AF10*AI10+AM10*AP10)/(AP10+AI10))</f>
        <v>2.6666666666666665</v>
      </c>
      <c r="AU10" s="6">
        <f>AN10+AG10</f>
        <v>2</v>
      </c>
      <c r="AV10" s="6">
        <f>AO10+AH10</f>
        <v>0</v>
      </c>
      <c r="AW10" s="6">
        <f>AP10+AI10</f>
        <v>6</v>
      </c>
      <c r="AX10" s="16">
        <f>AS10*AT10</f>
        <v>269.33333333333331</v>
      </c>
      <c r="AY10" s="7">
        <f t="shared" ref="AY10:AY20" si="10">AX10/$AX$22</f>
        <v>8.3850979248912078E-2</v>
      </c>
    </row>
    <row r="11" spans="1:51">
      <c r="A11" t="s">
        <v>67</v>
      </c>
      <c r="B11" t="s">
        <v>21</v>
      </c>
      <c r="C11" s="4">
        <f>32+(4+5+4+4)</f>
        <v>49</v>
      </c>
      <c r="D11" s="5">
        <f>(3.5*2+1*4)/G11</f>
        <v>1.8333333333333333</v>
      </c>
      <c r="E11" s="6">
        <v>1</v>
      </c>
      <c r="F11" s="21">
        <v>0</v>
      </c>
      <c r="G11" s="21">
        <v>6</v>
      </c>
      <c r="H11" s="5">
        <f t="shared" ref="H11:H17" si="11">C11*D11</f>
        <v>89.833333333333329</v>
      </c>
      <c r="I11" s="7">
        <f t="shared" si="0"/>
        <v>3.9223834149677179E-2</v>
      </c>
      <c r="J11" s="4">
        <f>32+(5+6+5+5+4)+51</f>
        <v>108</v>
      </c>
      <c r="K11" s="25">
        <f>(2*3.5+2+1+1+1+1+4*2)/N11</f>
        <v>1.9090909090909092</v>
      </c>
      <c r="L11" s="21">
        <v>2</v>
      </c>
      <c r="M11" s="21">
        <v>0</v>
      </c>
      <c r="N11" s="21">
        <f>7+4</f>
        <v>11</v>
      </c>
      <c r="O11" s="16">
        <f t="shared" si="1"/>
        <v>206.18181818181819</v>
      </c>
      <c r="P11" s="7">
        <f t="shared" si="2"/>
        <v>8.0411099008428036E-2</v>
      </c>
      <c r="Q11" s="4">
        <f>92+(4+6+5+5)+32</f>
        <v>144</v>
      </c>
      <c r="R11" s="25">
        <f>(2*6.5+4*1+2*3.5)/U11</f>
        <v>3</v>
      </c>
      <c r="S11" s="21">
        <v>3</v>
      </c>
      <c r="T11" s="21">
        <v>0</v>
      </c>
      <c r="U11" s="21">
        <v>8</v>
      </c>
      <c r="V11" s="16">
        <f t="shared" si="3"/>
        <v>432</v>
      </c>
      <c r="W11" s="7">
        <f t="shared" si="4"/>
        <v>0.13354959989766935</v>
      </c>
      <c r="X11" s="4">
        <f>32+(4+8+6+5)+25</f>
        <v>80</v>
      </c>
      <c r="Y11" s="25">
        <f>(2*3.5+1+2+1+1+3*1.33)/AB11</f>
        <v>1.7766666666666666</v>
      </c>
      <c r="Z11" s="21">
        <v>3</v>
      </c>
      <c r="AA11" s="21">
        <v>0</v>
      </c>
      <c r="AB11" s="21">
        <v>9</v>
      </c>
      <c r="AC11" s="16">
        <f t="shared" si="5"/>
        <v>142.13333333333333</v>
      </c>
      <c r="AD11" s="7">
        <f t="shared" si="6"/>
        <v>5.1507654633220087E-2</v>
      </c>
      <c r="AE11" s="4">
        <f>(2+2+9)+(6+11)</f>
        <v>30</v>
      </c>
      <c r="AF11" s="25">
        <f>(1+1+2+2+1)/AI11</f>
        <v>1.4</v>
      </c>
      <c r="AG11" s="21">
        <v>3</v>
      </c>
      <c r="AH11" s="21">
        <v>0</v>
      </c>
      <c r="AI11" s="21">
        <v>5</v>
      </c>
      <c r="AJ11" s="16">
        <f t="shared" si="7"/>
        <v>42</v>
      </c>
      <c r="AK11" s="7">
        <f t="shared" si="8"/>
        <v>4.0599230506340796E-2</v>
      </c>
      <c r="AL11" s="4">
        <f>19+33</f>
        <v>52</v>
      </c>
      <c r="AM11" s="21">
        <f>AVERAGE(2,6)</f>
        <v>4</v>
      </c>
      <c r="AN11" s="21">
        <v>2</v>
      </c>
      <c r="AO11" s="21">
        <v>0</v>
      </c>
      <c r="AP11" s="21">
        <v>2</v>
      </c>
      <c r="AQ11" s="16">
        <f>AL11*AM11</f>
        <v>208</v>
      </c>
      <c r="AR11" s="7">
        <f t="shared" si="9"/>
        <v>9.1761655338908968E-2</v>
      </c>
      <c r="AS11" s="4">
        <f t="shared" ref="AS11:AS19" si="12">AL11+AE11</f>
        <v>82</v>
      </c>
      <c r="AT11" s="5">
        <f t="shared" ref="AT11:AT19" si="13">IF((AP11+AI11 = 0), 0, (AF11*AI11+AM11*AP11)/(AP11+AI11))</f>
        <v>2.1428571428571428</v>
      </c>
      <c r="AU11" s="6">
        <f t="shared" ref="AU11:AW19" si="14">AN11+AG11</f>
        <v>5</v>
      </c>
      <c r="AV11" s="6">
        <f t="shared" si="14"/>
        <v>0</v>
      </c>
      <c r="AW11" s="6">
        <f t="shared" si="14"/>
        <v>7</v>
      </c>
      <c r="AX11" s="16">
        <f>AS11*AT11</f>
        <v>175.71428571428572</v>
      </c>
      <c r="AY11" s="7">
        <f t="shared" si="10"/>
        <v>5.4704758385517249E-2</v>
      </c>
    </row>
    <row r="12" spans="1:51">
      <c r="A12" t="s">
        <v>67</v>
      </c>
      <c r="B12" s="1" t="s">
        <v>46</v>
      </c>
      <c r="C12" s="18">
        <f>132+28+29+110+13+7</f>
        <v>319</v>
      </c>
      <c r="D12" s="19">
        <f>(13*2.15+1*5+5*1.2+5*3)/G12</f>
        <v>1.4197368421052632</v>
      </c>
      <c r="E12" s="20">
        <v>5</v>
      </c>
      <c r="F12" s="20">
        <v>2</v>
      </c>
      <c r="G12" s="20">
        <f>13+15+5+5</f>
        <v>38</v>
      </c>
      <c r="H12" s="19">
        <f t="shared" si="11"/>
        <v>452.89605263157898</v>
      </c>
      <c r="I12" s="17">
        <f t="shared" si="0"/>
        <v>0.19774752863225811</v>
      </c>
      <c r="J12" s="18">
        <f>C12</f>
        <v>319</v>
      </c>
      <c r="K12" s="19">
        <f>(13*2.15+1*5+5*1.2+5*3)/N12</f>
        <v>1.4197368421052632</v>
      </c>
      <c r="L12" s="20">
        <v>5</v>
      </c>
      <c r="M12" s="20">
        <v>2</v>
      </c>
      <c r="N12" s="20">
        <f>13+15+5+5</f>
        <v>38</v>
      </c>
      <c r="O12" s="19">
        <f t="shared" si="1"/>
        <v>452.89605263157898</v>
      </c>
      <c r="P12" s="7">
        <f t="shared" si="2"/>
        <v>0.17662987769643979</v>
      </c>
      <c r="Q12" s="18">
        <f>C12</f>
        <v>319</v>
      </c>
      <c r="R12" s="19">
        <f>(13*2.15+1*5+5*1.2+5*3)/U12</f>
        <v>1.4197368421052632</v>
      </c>
      <c r="S12" s="20">
        <v>5</v>
      </c>
      <c r="T12" s="20">
        <v>2</v>
      </c>
      <c r="U12" s="20">
        <f>13+15+5+5</f>
        <v>38</v>
      </c>
      <c r="V12" s="19">
        <f t="shared" si="3"/>
        <v>452.89605263157898</v>
      </c>
      <c r="W12" s="7">
        <f t="shared" si="4"/>
        <v>0.14000945977819715</v>
      </c>
      <c r="X12" s="18">
        <f>C12</f>
        <v>319</v>
      </c>
      <c r="Y12" s="19">
        <f>(13*2.15+1*5+5*1.2+5*3)/AB12</f>
        <v>1.4197368421052632</v>
      </c>
      <c r="Z12" s="20">
        <v>5</v>
      </c>
      <c r="AA12" s="20">
        <v>2</v>
      </c>
      <c r="AB12" s="20">
        <f>13+15+5+5</f>
        <v>38</v>
      </c>
      <c r="AC12" s="19">
        <f t="shared" si="5"/>
        <v>452.89605263157898</v>
      </c>
      <c r="AD12" s="7">
        <f t="shared" si="6"/>
        <v>0.16412486020424041</v>
      </c>
      <c r="AE12" s="22">
        <v>0</v>
      </c>
      <c r="AF12" s="16">
        <v>0</v>
      </c>
      <c r="AG12" s="23">
        <v>0</v>
      </c>
      <c r="AH12" s="23">
        <v>0</v>
      </c>
      <c r="AI12" s="24">
        <v>0</v>
      </c>
      <c r="AJ12" s="16">
        <f>AE12*AF12</f>
        <v>0</v>
      </c>
      <c r="AK12" s="7">
        <f t="shared" si="8"/>
        <v>0</v>
      </c>
      <c r="AL12" s="22">
        <v>0</v>
      </c>
      <c r="AM12" s="16">
        <v>0</v>
      </c>
      <c r="AN12" s="23">
        <v>0</v>
      </c>
      <c r="AO12" s="23">
        <v>0</v>
      </c>
      <c r="AP12" s="24">
        <v>0</v>
      </c>
      <c r="AQ12" s="16">
        <f>AL12*AM12</f>
        <v>0</v>
      </c>
      <c r="AR12" s="7">
        <f t="shared" si="9"/>
        <v>0</v>
      </c>
      <c r="AS12" s="4">
        <f t="shared" si="12"/>
        <v>0</v>
      </c>
      <c r="AT12" s="5">
        <f t="shared" si="13"/>
        <v>0</v>
      </c>
      <c r="AU12" s="6">
        <f t="shared" si="14"/>
        <v>0</v>
      </c>
      <c r="AV12" s="6">
        <f t="shared" si="14"/>
        <v>0</v>
      </c>
      <c r="AW12" s="6">
        <f t="shared" si="14"/>
        <v>0</v>
      </c>
      <c r="AX12" s="16">
        <f>AS12*AT12</f>
        <v>0</v>
      </c>
      <c r="AY12" s="7">
        <f t="shared" si="10"/>
        <v>0</v>
      </c>
    </row>
    <row r="13" spans="1:51">
      <c r="A13" t="s">
        <v>5</v>
      </c>
      <c r="B13" s="1" t="s">
        <v>6</v>
      </c>
      <c r="C13" s="18">
        <v>0</v>
      </c>
      <c r="D13" s="19">
        <v>0</v>
      </c>
      <c r="E13" s="20">
        <v>0</v>
      </c>
      <c r="F13" s="20">
        <v>0</v>
      </c>
      <c r="G13" s="20">
        <v>0</v>
      </c>
      <c r="H13" s="19">
        <f>C13*D13</f>
        <v>0</v>
      </c>
      <c r="I13" s="17">
        <f t="shared" si="0"/>
        <v>0</v>
      </c>
      <c r="J13" s="18">
        <v>0</v>
      </c>
      <c r="K13" s="19">
        <v>0</v>
      </c>
      <c r="L13" s="20">
        <v>0</v>
      </c>
      <c r="M13" s="20">
        <v>0</v>
      </c>
      <c r="N13" s="20">
        <v>0</v>
      </c>
      <c r="O13" s="19">
        <f>J13*K13</f>
        <v>0</v>
      </c>
      <c r="P13" s="7">
        <f t="shared" si="2"/>
        <v>0</v>
      </c>
      <c r="Q13" s="18">
        <v>0</v>
      </c>
      <c r="R13" s="19">
        <v>0</v>
      </c>
      <c r="S13" s="20">
        <v>0</v>
      </c>
      <c r="T13" s="20">
        <v>0</v>
      </c>
      <c r="U13" s="20">
        <v>0</v>
      </c>
      <c r="V13" s="19">
        <f>Q13*R13</f>
        <v>0</v>
      </c>
      <c r="W13" s="7">
        <f t="shared" si="4"/>
        <v>0</v>
      </c>
      <c r="X13" s="18">
        <v>0</v>
      </c>
      <c r="Y13" s="19">
        <v>0</v>
      </c>
      <c r="Z13" s="20">
        <v>0</v>
      </c>
      <c r="AA13" s="20">
        <v>0</v>
      </c>
      <c r="AB13" s="20">
        <v>0</v>
      </c>
      <c r="AC13" s="19">
        <f>X13*Y13</f>
        <v>0</v>
      </c>
      <c r="AD13" s="7">
        <f t="shared" si="6"/>
        <v>0</v>
      </c>
      <c r="AE13" s="18">
        <v>0</v>
      </c>
      <c r="AF13" s="19">
        <v>0</v>
      </c>
      <c r="AG13" s="20">
        <v>0</v>
      </c>
      <c r="AH13" s="20">
        <v>0</v>
      </c>
      <c r="AI13" s="20">
        <v>0</v>
      </c>
      <c r="AJ13" s="16">
        <f>AE13*AF13</f>
        <v>0</v>
      </c>
      <c r="AK13" s="7">
        <f t="shared" si="8"/>
        <v>0</v>
      </c>
      <c r="AL13" s="22">
        <v>25</v>
      </c>
      <c r="AM13" s="16">
        <v>1.5</v>
      </c>
      <c r="AN13" s="24">
        <v>1</v>
      </c>
      <c r="AO13" s="24">
        <v>0</v>
      </c>
      <c r="AP13" s="24">
        <v>2</v>
      </c>
      <c r="AQ13" s="16">
        <f>AL13*AM13</f>
        <v>37.5</v>
      </c>
      <c r="AR13" s="7">
        <f t="shared" si="9"/>
        <v>1.6543567669274454E-2</v>
      </c>
      <c r="AS13" s="4">
        <f>AL13+AE13</f>
        <v>25</v>
      </c>
      <c r="AT13" s="5">
        <f>IF((AP13+AI13 = 0), 0, (AF13*AI13+AM13*AP13)/(AP13+AI13))</f>
        <v>1.5</v>
      </c>
      <c r="AU13" s="6">
        <f>AN13+AG13</f>
        <v>1</v>
      </c>
      <c r="AV13" s="6">
        <f>AO13+AH13</f>
        <v>0</v>
      </c>
      <c r="AW13" s="6">
        <f>AP13+AI13</f>
        <v>2</v>
      </c>
      <c r="AX13" s="16">
        <f>AS13*AT13</f>
        <v>37.5</v>
      </c>
      <c r="AY13" s="7">
        <f t="shared" si="10"/>
        <v>1.167479599690917E-2</v>
      </c>
    </row>
    <row r="14" spans="1:51">
      <c r="A14" t="s">
        <v>68</v>
      </c>
      <c r="B14" s="1" t="s">
        <v>8</v>
      </c>
      <c r="C14" s="18">
        <f>42+77+19+14+10+42</f>
        <v>204</v>
      </c>
      <c r="D14" s="19">
        <f>(7*1+12*1+7*1)/G14</f>
        <v>1</v>
      </c>
      <c r="E14" s="20">
        <v>3</v>
      </c>
      <c r="F14" s="20">
        <v>3</v>
      </c>
      <c r="G14" s="20">
        <v>26</v>
      </c>
      <c r="H14" s="19">
        <f t="shared" si="11"/>
        <v>204</v>
      </c>
      <c r="I14" s="17">
        <f t="shared" si="0"/>
        <v>8.9072306120973777E-2</v>
      </c>
      <c r="J14" s="18">
        <f>42+77+19+14+10+42</f>
        <v>204</v>
      </c>
      <c r="K14" s="19">
        <f>(7*1+12*1+7*1)/N14</f>
        <v>1</v>
      </c>
      <c r="L14" s="20">
        <v>3</v>
      </c>
      <c r="M14" s="20">
        <v>3</v>
      </c>
      <c r="N14" s="20">
        <v>26</v>
      </c>
      <c r="O14" s="19">
        <f t="shared" si="1"/>
        <v>204</v>
      </c>
      <c r="P14" s="7">
        <f t="shared" si="2"/>
        <v>7.9560187907809748E-2</v>
      </c>
      <c r="Q14" s="18">
        <f>42+77+19+14+10+42</f>
        <v>204</v>
      </c>
      <c r="R14" s="19">
        <f>(7*1+12*1+7*1)/U14</f>
        <v>1</v>
      </c>
      <c r="S14" s="20">
        <v>3</v>
      </c>
      <c r="T14" s="20">
        <v>3</v>
      </c>
      <c r="U14" s="20">
        <v>26</v>
      </c>
      <c r="V14" s="19">
        <f t="shared" si="3"/>
        <v>204</v>
      </c>
      <c r="W14" s="7">
        <f t="shared" si="4"/>
        <v>6.306508884056608E-2</v>
      </c>
      <c r="X14" s="22">
        <f>42+77+19+14+10+42+(20+17)</f>
        <v>241</v>
      </c>
      <c r="Y14" s="16">
        <f>(7*1+12*1+7*1)/AB14</f>
        <v>0.8666666666666667</v>
      </c>
      <c r="Z14" s="23">
        <v>5</v>
      </c>
      <c r="AA14" s="23">
        <v>3</v>
      </c>
      <c r="AB14" s="23">
        <f>26+4</f>
        <v>30</v>
      </c>
      <c r="AC14" s="16">
        <f t="shared" si="5"/>
        <v>208.86666666666667</v>
      </c>
      <c r="AD14" s="7">
        <f t="shared" si="6"/>
        <v>7.5691126625646601E-2</v>
      </c>
      <c r="AE14" s="18">
        <f>42+77+19+14+10+42</f>
        <v>204</v>
      </c>
      <c r="AF14" s="19">
        <f>(7*1+12*1+7*1)/AI14</f>
        <v>1</v>
      </c>
      <c r="AG14" s="20">
        <v>3</v>
      </c>
      <c r="AH14" s="20">
        <v>3</v>
      </c>
      <c r="AI14" s="20">
        <v>26</v>
      </c>
      <c r="AJ14" s="16">
        <f t="shared" si="7"/>
        <v>204</v>
      </c>
      <c r="AK14" s="7">
        <f t="shared" si="8"/>
        <v>0.19719626245936958</v>
      </c>
      <c r="AL14" s="22">
        <v>0</v>
      </c>
      <c r="AM14" s="16">
        <v>0</v>
      </c>
      <c r="AN14" s="24">
        <v>0</v>
      </c>
      <c r="AO14" s="24">
        <v>0</v>
      </c>
      <c r="AP14" s="24">
        <v>0</v>
      </c>
      <c r="AQ14" s="16">
        <f t="shared" ref="AQ14:AQ19" si="15">AL14*AM14</f>
        <v>0</v>
      </c>
      <c r="AR14" s="7">
        <f t="shared" si="9"/>
        <v>0</v>
      </c>
      <c r="AS14" s="4">
        <f t="shared" si="12"/>
        <v>204</v>
      </c>
      <c r="AT14" s="5">
        <f t="shared" si="13"/>
        <v>1</v>
      </c>
      <c r="AU14" s="6">
        <f t="shared" si="14"/>
        <v>3</v>
      </c>
      <c r="AV14" s="6">
        <f t="shared" si="14"/>
        <v>3</v>
      </c>
      <c r="AW14" s="6">
        <f t="shared" si="14"/>
        <v>26</v>
      </c>
      <c r="AX14" s="16">
        <f t="shared" ref="AX14:AX19" si="16">AS14*AT14</f>
        <v>204</v>
      </c>
      <c r="AY14" s="7">
        <f t="shared" si="10"/>
        <v>6.3510890223185887E-2</v>
      </c>
    </row>
    <row r="15" spans="1:51">
      <c r="A15" t="s">
        <v>68</v>
      </c>
      <c r="B15" s="3" t="s">
        <v>9</v>
      </c>
      <c r="C15" s="22">
        <v>1</v>
      </c>
      <c r="D15" s="16">
        <v>1</v>
      </c>
      <c r="E15" s="26">
        <v>0</v>
      </c>
      <c r="F15" s="26">
        <v>1</v>
      </c>
      <c r="G15" s="26">
        <v>0</v>
      </c>
      <c r="H15" s="16">
        <f t="shared" si="11"/>
        <v>1</v>
      </c>
      <c r="I15" s="17">
        <f t="shared" si="0"/>
        <v>4.3662895157340085E-4</v>
      </c>
      <c r="J15" s="22">
        <f>4+(5+8)</f>
        <v>17</v>
      </c>
      <c r="K15" s="16">
        <f>AVERAGE(2,3)</f>
        <v>2.5</v>
      </c>
      <c r="L15" s="26">
        <v>1</v>
      </c>
      <c r="M15" s="26">
        <v>1</v>
      </c>
      <c r="N15" s="26">
        <v>2</v>
      </c>
      <c r="O15" s="16">
        <f t="shared" si="1"/>
        <v>42.5</v>
      </c>
      <c r="P15" s="7">
        <f t="shared" si="2"/>
        <v>1.6575039147460363E-2</v>
      </c>
      <c r="Q15" s="22">
        <v>5</v>
      </c>
      <c r="R15" s="16">
        <v>1</v>
      </c>
      <c r="S15" s="26">
        <v>1</v>
      </c>
      <c r="T15" s="26">
        <v>1</v>
      </c>
      <c r="U15" s="26">
        <v>1</v>
      </c>
      <c r="V15" s="16">
        <f t="shared" si="3"/>
        <v>5</v>
      </c>
      <c r="W15" s="7">
        <f t="shared" si="4"/>
        <v>1.5457129617785803E-3</v>
      </c>
      <c r="X15" s="22">
        <f>4+5+22+1</f>
        <v>32</v>
      </c>
      <c r="Y15" s="16">
        <f>AVERAGE(9,2,1)</f>
        <v>4</v>
      </c>
      <c r="Z15" s="26">
        <v>2</v>
      </c>
      <c r="AA15" s="26">
        <v>1</v>
      </c>
      <c r="AB15" s="26">
        <v>3</v>
      </c>
      <c r="AC15" s="16">
        <f t="shared" si="5"/>
        <v>128</v>
      </c>
      <c r="AD15" s="7">
        <f t="shared" si="6"/>
        <v>4.6385880345113775E-2</v>
      </c>
      <c r="AE15" s="22">
        <f>4+6+10</f>
        <v>20</v>
      </c>
      <c r="AF15" s="16">
        <f>AVERAGE(3,2)</f>
        <v>2.5</v>
      </c>
      <c r="AG15" s="24">
        <v>1</v>
      </c>
      <c r="AH15" s="24">
        <v>1</v>
      </c>
      <c r="AI15" s="24">
        <v>2</v>
      </c>
      <c r="AJ15" s="16">
        <f t="shared" si="7"/>
        <v>50</v>
      </c>
      <c r="AK15" s="7">
        <f t="shared" si="8"/>
        <v>4.833241726945333E-2</v>
      </c>
      <c r="AL15" s="22">
        <v>0</v>
      </c>
      <c r="AM15" s="16">
        <v>0</v>
      </c>
      <c r="AN15" s="24">
        <v>0</v>
      </c>
      <c r="AO15" s="24">
        <v>0</v>
      </c>
      <c r="AP15" s="24">
        <v>0</v>
      </c>
      <c r="AQ15" s="16">
        <f t="shared" si="15"/>
        <v>0</v>
      </c>
      <c r="AR15" s="7">
        <f t="shared" si="9"/>
        <v>0</v>
      </c>
      <c r="AS15" s="4">
        <f t="shared" si="12"/>
        <v>20</v>
      </c>
      <c r="AT15" s="5">
        <f t="shared" si="13"/>
        <v>2.5</v>
      </c>
      <c r="AU15" s="6">
        <f t="shared" si="14"/>
        <v>1</v>
      </c>
      <c r="AV15" s="6">
        <f t="shared" si="14"/>
        <v>1</v>
      </c>
      <c r="AW15" s="6">
        <f t="shared" si="14"/>
        <v>2</v>
      </c>
      <c r="AX15" s="16">
        <f t="shared" si="16"/>
        <v>50</v>
      </c>
      <c r="AY15" s="7">
        <f t="shared" si="10"/>
        <v>1.5566394662545559E-2</v>
      </c>
    </row>
    <row r="16" spans="1:51">
      <c r="A16" t="s">
        <v>68</v>
      </c>
      <c r="B16" s="1" t="s">
        <v>24</v>
      </c>
      <c r="C16" s="18">
        <f>5+167+70+53+8</f>
        <v>303</v>
      </c>
      <c r="D16" s="19">
        <f>(11*2.5+2*2+2*2.3)/G16</f>
        <v>2.4066666666666667</v>
      </c>
      <c r="E16" s="20">
        <v>3</v>
      </c>
      <c r="F16" s="20">
        <v>2</v>
      </c>
      <c r="G16" s="20">
        <v>15</v>
      </c>
      <c r="H16" s="19">
        <f t="shared" si="11"/>
        <v>729.22</v>
      </c>
      <c r="I16" s="17">
        <f t="shared" si="0"/>
        <v>0.31839856406635542</v>
      </c>
      <c r="J16" s="18">
        <f>5+167+70+53+8+7</f>
        <v>310</v>
      </c>
      <c r="K16" s="19">
        <f>(11*2.5+2*2+2*2.3+2)/N16</f>
        <v>2.3812500000000001</v>
      </c>
      <c r="L16" s="20">
        <v>3</v>
      </c>
      <c r="M16" s="20">
        <v>2</v>
      </c>
      <c r="N16" s="20">
        <v>16</v>
      </c>
      <c r="O16" s="19">
        <f t="shared" si="1"/>
        <v>738.1875</v>
      </c>
      <c r="P16" s="7">
        <f t="shared" si="2"/>
        <v>0.28789380495684463</v>
      </c>
      <c r="Q16" s="18">
        <f>5+167+70+53+8+8</f>
        <v>311</v>
      </c>
      <c r="R16" s="19">
        <f>(11*2.5+2*2+2*2.3+2)/U16</f>
        <v>2.3812500000000001</v>
      </c>
      <c r="S16" s="20">
        <v>3</v>
      </c>
      <c r="T16" s="20">
        <v>2</v>
      </c>
      <c r="U16" s="20">
        <v>16</v>
      </c>
      <c r="V16" s="19">
        <f t="shared" si="3"/>
        <v>740.56875000000002</v>
      </c>
      <c r="W16" s="7">
        <f t="shared" si="4"/>
        <v>0.22894134319263221</v>
      </c>
      <c r="X16" s="18">
        <f>5+167+70+53+8+8</f>
        <v>311</v>
      </c>
      <c r="Y16" s="19">
        <f>(11*2.5+2*2+2*2.3+2)/AB16</f>
        <v>2.3812500000000001</v>
      </c>
      <c r="Z16" s="20">
        <v>3</v>
      </c>
      <c r="AA16" s="20">
        <v>2</v>
      </c>
      <c r="AB16" s="20">
        <v>16</v>
      </c>
      <c r="AC16" s="16">
        <f t="shared" si="5"/>
        <v>740.56875000000002</v>
      </c>
      <c r="AD16" s="7">
        <f t="shared" si="6"/>
        <v>0.2683744798814881</v>
      </c>
      <c r="AE16" s="22">
        <v>0</v>
      </c>
      <c r="AF16" s="16">
        <v>0</v>
      </c>
      <c r="AG16" s="24">
        <v>0</v>
      </c>
      <c r="AH16" s="24">
        <v>0</v>
      </c>
      <c r="AI16" s="24">
        <v>0</v>
      </c>
      <c r="AJ16" s="16">
        <f t="shared" si="7"/>
        <v>0</v>
      </c>
      <c r="AK16" s="7">
        <f t="shared" si="8"/>
        <v>0</v>
      </c>
      <c r="AL16" s="22">
        <f>60+8+188</f>
        <v>256</v>
      </c>
      <c r="AM16" s="16">
        <f>(3*2.33+8*2.5)/AP16</f>
        <v>2.4536363636363636</v>
      </c>
      <c r="AN16" s="24">
        <v>2</v>
      </c>
      <c r="AO16" s="24">
        <v>1</v>
      </c>
      <c r="AP16" s="24">
        <v>11</v>
      </c>
      <c r="AQ16" s="16">
        <f t="shared" si="15"/>
        <v>628.13090909090909</v>
      </c>
      <c r="AR16" s="7">
        <f t="shared" si="9"/>
        <v>0.27710736532555558</v>
      </c>
      <c r="AS16" s="4">
        <f t="shared" si="12"/>
        <v>256</v>
      </c>
      <c r="AT16" s="5">
        <f t="shared" si="13"/>
        <v>2.4536363636363636</v>
      </c>
      <c r="AU16" s="6">
        <f t="shared" si="14"/>
        <v>2</v>
      </c>
      <c r="AV16" s="6">
        <f t="shared" si="14"/>
        <v>1</v>
      </c>
      <c r="AW16" s="6">
        <f t="shared" si="14"/>
        <v>11</v>
      </c>
      <c r="AX16" s="16">
        <f t="shared" si="16"/>
        <v>628.13090909090909</v>
      </c>
      <c r="AY16" s="7">
        <f t="shared" si="10"/>
        <v>0.19555467261305234</v>
      </c>
    </row>
    <row r="17" spans="1:52">
      <c r="A17" t="s">
        <v>68</v>
      </c>
      <c r="B17" s="3" t="s">
        <v>10</v>
      </c>
      <c r="C17" s="4">
        <f>113+5+(2)</f>
        <v>120</v>
      </c>
      <c r="D17" s="5">
        <f>(6*3.16+1)/G17</f>
        <v>2.8514285714285714</v>
      </c>
      <c r="E17" s="26">
        <v>2</v>
      </c>
      <c r="F17" s="26">
        <v>1</v>
      </c>
      <c r="G17" s="26">
        <v>7</v>
      </c>
      <c r="H17" s="5">
        <f t="shared" si="11"/>
        <v>342.17142857142858</v>
      </c>
      <c r="I17" s="7">
        <f t="shared" si="0"/>
        <v>0.14940195211551568</v>
      </c>
      <c r="J17" s="4">
        <f>113+5+2</f>
        <v>120</v>
      </c>
      <c r="K17" s="25">
        <f>(6*3.16+1)/N17</f>
        <v>2.8514285714285714</v>
      </c>
      <c r="L17" s="26">
        <v>2</v>
      </c>
      <c r="M17" s="26">
        <v>1</v>
      </c>
      <c r="N17" s="26">
        <v>7</v>
      </c>
      <c r="O17" s="16">
        <f t="shared" si="1"/>
        <v>342.17142857142858</v>
      </c>
      <c r="P17" s="7">
        <f t="shared" si="2"/>
        <v>0.13344717232267922</v>
      </c>
      <c r="Q17" s="4">
        <f>2+13+113+5</f>
        <v>133</v>
      </c>
      <c r="R17" s="25">
        <f>(1+3+6*3.16)/U17</f>
        <v>2.2960000000000003</v>
      </c>
      <c r="S17" s="26">
        <v>3</v>
      </c>
      <c r="T17" s="26">
        <v>1</v>
      </c>
      <c r="U17" s="26">
        <v>10</v>
      </c>
      <c r="V17" s="16">
        <f t="shared" si="3"/>
        <v>305.36800000000005</v>
      </c>
      <c r="W17" s="7">
        <f t="shared" si="4"/>
        <v>9.4402255142480324E-2</v>
      </c>
      <c r="X17" s="4">
        <f>133+2+6+5+5</f>
        <v>151</v>
      </c>
      <c r="Y17" s="25">
        <f>(6*3.16+1+2+2)/AB17</f>
        <v>2.6622222222222223</v>
      </c>
      <c r="Z17" s="26">
        <v>3</v>
      </c>
      <c r="AA17" s="26">
        <v>1</v>
      </c>
      <c r="AB17" s="26">
        <v>9</v>
      </c>
      <c r="AC17" s="16">
        <f t="shared" si="5"/>
        <v>401.99555555555554</v>
      </c>
      <c r="AD17" s="7">
        <f t="shared" si="6"/>
        <v>0.14567904483802763</v>
      </c>
      <c r="AE17" s="4">
        <v>10</v>
      </c>
      <c r="AF17" s="25">
        <v>3</v>
      </c>
      <c r="AG17" s="24">
        <v>1</v>
      </c>
      <c r="AH17" s="24">
        <v>0</v>
      </c>
      <c r="AI17" s="24">
        <v>1</v>
      </c>
      <c r="AJ17" s="16">
        <f t="shared" si="7"/>
        <v>30</v>
      </c>
      <c r="AK17" s="7">
        <f t="shared" si="8"/>
        <v>2.8999450361671997E-2</v>
      </c>
      <c r="AL17" s="4">
        <f>129+83</f>
        <v>212</v>
      </c>
      <c r="AM17" s="25">
        <f>(5*4+4*4.5)/AP17</f>
        <v>4.2222222222222223</v>
      </c>
      <c r="AN17" s="24">
        <v>2</v>
      </c>
      <c r="AO17" s="24">
        <v>0</v>
      </c>
      <c r="AP17" s="24">
        <v>9</v>
      </c>
      <c r="AQ17" s="16">
        <f t="shared" si="15"/>
        <v>895.11111111111109</v>
      </c>
      <c r="AR17" s="7">
        <f t="shared" si="9"/>
        <v>0.39488883301829625</v>
      </c>
      <c r="AS17" s="4">
        <f t="shared" si="12"/>
        <v>222</v>
      </c>
      <c r="AT17" s="5">
        <f t="shared" si="13"/>
        <v>4.0999999999999996</v>
      </c>
      <c r="AU17" s="6">
        <f t="shared" si="14"/>
        <v>3</v>
      </c>
      <c r="AV17" s="6">
        <f t="shared" si="14"/>
        <v>0</v>
      </c>
      <c r="AW17" s="6">
        <f t="shared" si="14"/>
        <v>10</v>
      </c>
      <c r="AX17" s="16">
        <f t="shared" si="16"/>
        <v>910.19999999999993</v>
      </c>
      <c r="AY17" s="7">
        <f t="shared" si="10"/>
        <v>0.28337064843697934</v>
      </c>
    </row>
    <row r="18" spans="1:52">
      <c r="A18" t="s">
        <v>68</v>
      </c>
      <c r="B18" s="3" t="s">
        <v>11</v>
      </c>
      <c r="C18" s="4">
        <f>5+17+(8+2+8)+(1+1+1)+(1+1+0+0)</f>
        <v>45</v>
      </c>
      <c r="D18" s="5">
        <f>(3*1+4+1+4+(1+1+1)+(1+1))/G18</f>
        <v>1.7</v>
      </c>
      <c r="E18" s="26">
        <v>4</v>
      </c>
      <c r="F18" s="26">
        <v>1</v>
      </c>
      <c r="G18" s="26">
        <v>10</v>
      </c>
      <c r="H18" s="5">
        <f>C18*D18</f>
        <v>76.5</v>
      </c>
      <c r="I18" s="7">
        <f t="shared" si="0"/>
        <v>3.3402114795365166E-2</v>
      </c>
      <c r="J18" s="4">
        <f>5+17+(8+2+8)+(6+5)</f>
        <v>51</v>
      </c>
      <c r="K18" s="5">
        <f>(3*1+4+1+4+2+2)/N18</f>
        <v>2</v>
      </c>
      <c r="L18" s="26">
        <v>3</v>
      </c>
      <c r="M18" s="26">
        <v>1</v>
      </c>
      <c r="N18" s="26">
        <v>8</v>
      </c>
      <c r="O18" s="16">
        <f t="shared" si="1"/>
        <v>102</v>
      </c>
      <c r="P18" s="7">
        <f t="shared" si="2"/>
        <v>3.9780093953904874E-2</v>
      </c>
      <c r="Q18" s="4">
        <f>8+2+8+5+17</f>
        <v>40</v>
      </c>
      <c r="R18" s="5">
        <f>(4+1+4+3*1)/U18</f>
        <v>2</v>
      </c>
      <c r="S18" s="26">
        <v>2</v>
      </c>
      <c r="T18" s="26">
        <v>1</v>
      </c>
      <c r="U18" s="26">
        <v>6</v>
      </c>
      <c r="V18" s="16">
        <f t="shared" si="3"/>
        <v>80</v>
      </c>
      <c r="W18" s="7">
        <f t="shared" si="4"/>
        <v>2.4731407388457284E-2</v>
      </c>
      <c r="X18" s="4">
        <f>5+17+(4+1+4)+(18+21)</f>
        <v>70</v>
      </c>
      <c r="Y18" s="5">
        <f>(3*1+4+1+4+6+8)/AB18</f>
        <v>3.25</v>
      </c>
      <c r="Z18" s="26">
        <v>3</v>
      </c>
      <c r="AA18" s="26">
        <v>1</v>
      </c>
      <c r="AB18" s="26">
        <v>8</v>
      </c>
      <c r="AC18" s="16">
        <f t="shared" si="5"/>
        <v>227.5</v>
      </c>
      <c r="AD18" s="7">
        <f t="shared" si="6"/>
        <v>8.2443654519635812E-2</v>
      </c>
      <c r="AE18" s="4">
        <f>5+17+(8+2+8)+(6+5)</f>
        <v>51</v>
      </c>
      <c r="AF18" s="5">
        <f>(3*1+4+1+4+2+2)/AI18</f>
        <v>2</v>
      </c>
      <c r="AG18" s="24">
        <v>3</v>
      </c>
      <c r="AH18" s="24">
        <v>1</v>
      </c>
      <c r="AI18" s="24">
        <v>8</v>
      </c>
      <c r="AJ18" s="16">
        <f t="shared" si="7"/>
        <v>102</v>
      </c>
      <c r="AK18" s="7">
        <f t="shared" si="8"/>
        <v>9.8598131229684791E-2</v>
      </c>
      <c r="AL18" s="4">
        <v>0</v>
      </c>
      <c r="AM18" s="5">
        <v>0</v>
      </c>
      <c r="AN18" s="24">
        <v>0</v>
      </c>
      <c r="AO18" s="24">
        <v>0</v>
      </c>
      <c r="AP18" s="24">
        <v>0</v>
      </c>
      <c r="AQ18" s="16">
        <f t="shared" si="15"/>
        <v>0</v>
      </c>
      <c r="AR18" s="7">
        <f t="shared" si="9"/>
        <v>0</v>
      </c>
      <c r="AS18" s="4">
        <f t="shared" si="12"/>
        <v>51</v>
      </c>
      <c r="AT18" s="5">
        <f t="shared" si="13"/>
        <v>2</v>
      </c>
      <c r="AU18" s="6">
        <f t="shared" si="14"/>
        <v>3</v>
      </c>
      <c r="AV18" s="6">
        <f t="shared" si="14"/>
        <v>1</v>
      </c>
      <c r="AW18" s="6">
        <f t="shared" si="14"/>
        <v>8</v>
      </c>
      <c r="AX18" s="16">
        <f t="shared" si="16"/>
        <v>102</v>
      </c>
      <c r="AY18" s="7">
        <f t="shared" si="10"/>
        <v>3.1755445111592943E-2</v>
      </c>
    </row>
    <row r="19" spans="1:52">
      <c r="A19" t="s">
        <v>68</v>
      </c>
      <c r="B19" s="3" t="s">
        <v>12</v>
      </c>
      <c r="C19" s="22">
        <f>2+(9+6)+(9+6)</f>
        <v>32</v>
      </c>
      <c r="D19" s="16">
        <f>AVERAGE(1,4,3,4,3)</f>
        <v>3</v>
      </c>
      <c r="E19" s="24">
        <v>3</v>
      </c>
      <c r="F19" s="24">
        <v>0</v>
      </c>
      <c r="G19" s="24">
        <v>5</v>
      </c>
      <c r="H19" s="5">
        <f>C19*D19</f>
        <v>96</v>
      </c>
      <c r="I19" s="7">
        <f t="shared" si="0"/>
        <v>4.191637935104648E-2</v>
      </c>
      <c r="J19" s="4">
        <v>0</v>
      </c>
      <c r="K19" s="21">
        <v>0</v>
      </c>
      <c r="L19" s="26">
        <v>0</v>
      </c>
      <c r="M19" s="26">
        <v>0</v>
      </c>
      <c r="N19" s="26">
        <v>0</v>
      </c>
      <c r="O19" s="16">
        <f t="shared" si="1"/>
        <v>0</v>
      </c>
      <c r="P19" s="7">
        <f t="shared" si="2"/>
        <v>0</v>
      </c>
      <c r="Q19" s="18">
        <v>0</v>
      </c>
      <c r="R19" s="26">
        <v>0</v>
      </c>
      <c r="S19" s="26">
        <v>0</v>
      </c>
      <c r="T19" s="26">
        <v>0</v>
      </c>
      <c r="U19" s="26">
        <v>0</v>
      </c>
      <c r="V19" s="16">
        <f t="shared" si="3"/>
        <v>0</v>
      </c>
      <c r="W19" s="7">
        <f t="shared" si="4"/>
        <v>0</v>
      </c>
      <c r="X19" s="18">
        <v>0</v>
      </c>
      <c r="Y19" s="26">
        <v>0</v>
      </c>
      <c r="Z19" s="26">
        <v>0</v>
      </c>
      <c r="AA19" s="26">
        <v>0</v>
      </c>
      <c r="AB19" s="26">
        <v>0</v>
      </c>
      <c r="AC19" s="16">
        <f t="shared" si="5"/>
        <v>0</v>
      </c>
      <c r="AD19" s="7">
        <f t="shared" si="6"/>
        <v>0</v>
      </c>
      <c r="AE19" s="4">
        <v>0</v>
      </c>
      <c r="AF19" s="21">
        <v>0</v>
      </c>
      <c r="AG19" s="24">
        <v>0</v>
      </c>
      <c r="AH19" s="24">
        <v>0</v>
      </c>
      <c r="AI19" s="24">
        <v>0</v>
      </c>
      <c r="AJ19" s="16">
        <f t="shared" si="7"/>
        <v>0</v>
      </c>
      <c r="AK19" s="7">
        <f t="shared" si="8"/>
        <v>0</v>
      </c>
      <c r="AL19" s="4">
        <v>166</v>
      </c>
      <c r="AM19" s="21">
        <v>3</v>
      </c>
      <c r="AN19" s="24">
        <v>2</v>
      </c>
      <c r="AO19" s="24">
        <v>0</v>
      </c>
      <c r="AP19" s="24">
        <v>13</v>
      </c>
      <c r="AQ19" s="16">
        <f t="shared" si="15"/>
        <v>498</v>
      </c>
      <c r="AR19" s="7">
        <f t="shared" si="9"/>
        <v>0.21969857864796472</v>
      </c>
      <c r="AS19" s="4">
        <f t="shared" si="12"/>
        <v>166</v>
      </c>
      <c r="AT19" s="5">
        <f t="shared" si="13"/>
        <v>3</v>
      </c>
      <c r="AU19" s="6">
        <f t="shared" si="14"/>
        <v>2</v>
      </c>
      <c r="AV19" s="6">
        <f t="shared" si="14"/>
        <v>0</v>
      </c>
      <c r="AW19" s="6">
        <f t="shared" si="14"/>
        <v>13</v>
      </c>
      <c r="AX19" s="16">
        <f t="shared" si="16"/>
        <v>498</v>
      </c>
      <c r="AY19" s="7">
        <f t="shared" si="10"/>
        <v>0.15504129083895377</v>
      </c>
    </row>
    <row r="20" spans="1:52">
      <c r="A20" t="s">
        <v>5</v>
      </c>
      <c r="B20" s="1" t="s">
        <v>7</v>
      </c>
      <c r="C20" s="22">
        <f>C8-SUM(C10:C19)</f>
        <v>160</v>
      </c>
      <c r="D20" s="16">
        <f>D8</f>
        <v>1.8665833333333335</v>
      </c>
      <c r="E20" s="23"/>
      <c r="F20" s="23"/>
      <c r="G20" s="23"/>
      <c r="H20" s="16">
        <f>C20*D20</f>
        <v>298.65333333333336</v>
      </c>
      <c r="I20" s="17">
        <f t="shared" si="0"/>
        <v>0.13040069181723477</v>
      </c>
      <c r="J20" s="22">
        <f>J8-SUM(J10:J19)</f>
        <v>155</v>
      </c>
      <c r="K20" s="16">
        <f>K8</f>
        <v>1.9494174757281555</v>
      </c>
      <c r="L20" s="23"/>
      <c r="M20" s="23"/>
      <c r="N20" s="23"/>
      <c r="O20" s="16">
        <f>J20*K20</f>
        <v>302.15970873786409</v>
      </c>
      <c r="P20" s="17">
        <f t="shared" si="2"/>
        <v>0.11784256473212515</v>
      </c>
      <c r="Q20" s="22">
        <f>Q8-SUM(Q10:Q19)</f>
        <v>288</v>
      </c>
      <c r="R20" s="16">
        <f>R8</f>
        <v>2.0471774193548389</v>
      </c>
      <c r="S20" s="23"/>
      <c r="T20" s="23"/>
      <c r="U20" s="23"/>
      <c r="V20" s="16">
        <f>Q20*R20</f>
        <v>589.58709677419358</v>
      </c>
      <c r="W20" s="7">
        <f t="shared" si="4"/>
        <v>0.18226648351625466</v>
      </c>
      <c r="X20" s="22">
        <f>X8-SUM(X10:X19)</f>
        <v>179</v>
      </c>
      <c r="Y20" s="16">
        <f>Y8</f>
        <v>1.9596969696969697</v>
      </c>
      <c r="Z20" s="23"/>
      <c r="AA20" s="23"/>
      <c r="AB20" s="23"/>
      <c r="AC20" s="16">
        <f>X20*Y20</f>
        <v>350.7857575757576</v>
      </c>
      <c r="AD20" s="7">
        <f t="shared" si="6"/>
        <v>0.12712114201311858</v>
      </c>
      <c r="AE20" s="22">
        <f>AE8-SUM(AE10:AE19)</f>
        <v>216</v>
      </c>
      <c r="AF20" s="16">
        <f>AF8</f>
        <v>1.5609677419354839</v>
      </c>
      <c r="AG20" s="24"/>
      <c r="AH20" s="24"/>
      <c r="AI20" s="24"/>
      <c r="AJ20" s="16">
        <f>AE20*AF20</f>
        <v>337.16903225806453</v>
      </c>
      <c r="AK20" s="7">
        <f t="shared" si="8"/>
        <v>0.32592388714869092</v>
      </c>
      <c r="AL20" s="22">
        <v>0</v>
      </c>
      <c r="AM20" s="16">
        <v>0</v>
      </c>
      <c r="AN20" s="24"/>
      <c r="AO20" s="24"/>
      <c r="AP20" s="24"/>
      <c r="AQ20" s="16">
        <f>AL20*AM20</f>
        <v>0</v>
      </c>
      <c r="AR20" s="7">
        <f t="shared" si="9"/>
        <v>0</v>
      </c>
      <c r="AS20" s="22">
        <f>AE20</f>
        <v>216</v>
      </c>
      <c r="AT20" s="16">
        <f>AF20</f>
        <v>1.5609677419354839</v>
      </c>
      <c r="AU20" s="23"/>
      <c r="AV20" s="23"/>
      <c r="AW20" s="23"/>
      <c r="AX20" s="16">
        <f>AS20*AT20</f>
        <v>337.16903225806453</v>
      </c>
      <c r="AY20" s="7">
        <f t="shared" si="10"/>
        <v>0.10497012448235174</v>
      </c>
      <c r="AZ20" s="3"/>
    </row>
    <row r="21" spans="1:52">
      <c r="C21" s="4"/>
      <c r="D21" s="6"/>
      <c r="E21" s="6"/>
      <c r="F21" s="6"/>
      <c r="G21" s="6"/>
      <c r="H21" s="6"/>
      <c r="I21" s="15"/>
      <c r="J21" s="4"/>
      <c r="K21" s="6"/>
      <c r="L21" s="6"/>
      <c r="M21" s="6"/>
      <c r="N21" s="6"/>
      <c r="O21" s="6"/>
      <c r="P21" s="15"/>
      <c r="Q21" s="4"/>
      <c r="R21" s="6"/>
      <c r="S21" s="6"/>
      <c r="T21" s="6"/>
      <c r="U21" s="6"/>
      <c r="V21" s="6"/>
      <c r="W21" s="15"/>
      <c r="X21" s="4"/>
      <c r="Y21" s="6"/>
      <c r="Z21" s="6"/>
      <c r="AA21" s="6"/>
      <c r="AB21" s="6"/>
      <c r="AC21" s="6"/>
      <c r="AD21" s="15"/>
      <c r="AE21" s="4"/>
      <c r="AF21" s="6"/>
      <c r="AG21" s="6"/>
      <c r="AH21" s="6"/>
      <c r="AI21" s="6"/>
      <c r="AJ21" s="6"/>
      <c r="AK21" s="15"/>
      <c r="AL21" s="4"/>
      <c r="AM21" s="6"/>
      <c r="AN21" s="6"/>
      <c r="AO21" s="6"/>
      <c r="AP21" s="6"/>
      <c r="AQ21" s="6"/>
      <c r="AR21" s="15"/>
      <c r="AS21" s="4"/>
      <c r="AT21" s="6"/>
      <c r="AU21" s="6"/>
      <c r="AV21" s="6"/>
      <c r="AW21" s="6"/>
      <c r="AX21" s="6"/>
      <c r="AY21" s="15"/>
    </row>
    <row r="22" spans="1:52">
      <c r="B22" s="1" t="s">
        <v>17</v>
      </c>
      <c r="C22" s="8"/>
      <c r="D22" s="9"/>
      <c r="E22" s="9"/>
      <c r="F22" s="9"/>
      <c r="G22" s="9"/>
      <c r="H22" s="10">
        <f>SUM(H10:H20)</f>
        <v>2290.2741478696744</v>
      </c>
      <c r="I22" s="11">
        <f>SUM(I10:I20)</f>
        <v>1</v>
      </c>
      <c r="J22" s="8"/>
      <c r="K22" s="9"/>
      <c r="L22" s="9"/>
      <c r="M22" s="9"/>
      <c r="N22" s="9"/>
      <c r="O22" s="10">
        <f>SUM(O10:O20)</f>
        <v>2564.0965081226896</v>
      </c>
      <c r="P22" s="11">
        <f>SUM(P10:P20)</f>
        <v>1</v>
      </c>
      <c r="Q22" s="8"/>
      <c r="R22" s="9"/>
      <c r="S22" s="9"/>
      <c r="T22" s="9"/>
      <c r="U22" s="9"/>
      <c r="V22" s="10">
        <f>SUM(V10:V20)</f>
        <v>3234.7532327391054</v>
      </c>
      <c r="W22" s="11">
        <f>SUM(W10:W20)</f>
        <v>1.0000000000000002</v>
      </c>
      <c r="X22" s="8"/>
      <c r="Y22" s="9"/>
      <c r="Z22" s="9"/>
      <c r="AA22" s="9"/>
      <c r="AB22" s="9"/>
      <c r="AC22" s="10">
        <f>SUM(AC10:AC20)</f>
        <v>2759.460401477178</v>
      </c>
      <c r="AD22" s="11">
        <f>SUM(AD10:AD20)</f>
        <v>1</v>
      </c>
      <c r="AE22" s="8"/>
      <c r="AF22" s="9"/>
      <c r="AG22" s="9"/>
      <c r="AH22" s="9"/>
      <c r="AI22" s="9"/>
      <c r="AJ22" s="10">
        <f>SUM(AJ10:AJ20)</f>
        <v>1034.5023655913978</v>
      </c>
      <c r="AK22" s="11">
        <f>SUM(AK10:AK20)</f>
        <v>0.99999999999999989</v>
      </c>
      <c r="AL22" s="8"/>
      <c r="AM22" s="9"/>
      <c r="AN22" s="9"/>
      <c r="AO22" s="9"/>
      <c r="AP22" s="9"/>
      <c r="AQ22" s="10">
        <f>SUM(AQ10:AQ20)</f>
        <v>2266.7420202020203</v>
      </c>
      <c r="AR22" s="11">
        <f>SUM(AR10:AR20)</f>
        <v>0.99999999999999989</v>
      </c>
      <c r="AS22" s="8"/>
      <c r="AT22" s="9"/>
      <c r="AU22" s="9"/>
      <c r="AV22" s="9"/>
      <c r="AW22" s="9"/>
      <c r="AX22" s="10">
        <f>SUM(AX10:AX20)</f>
        <v>3212.0475603965924</v>
      </c>
      <c r="AY22" s="11">
        <f>SUM(AY10:AY20)</f>
        <v>1</v>
      </c>
    </row>
    <row r="41" spans="2:38">
      <c r="C41" t="s">
        <v>38</v>
      </c>
    </row>
    <row r="42" spans="2:38">
      <c r="X42" t="s">
        <v>39</v>
      </c>
      <c r="AE42" t="s">
        <v>36</v>
      </c>
      <c r="AL42" t="s">
        <v>41</v>
      </c>
    </row>
    <row r="43" spans="2:38">
      <c r="X43" t="s">
        <v>40</v>
      </c>
      <c r="AE43" t="s">
        <v>37</v>
      </c>
      <c r="AL43" t="s">
        <v>42</v>
      </c>
    </row>
    <row r="45" spans="2:38">
      <c r="B45" s="1" t="s">
        <v>25</v>
      </c>
    </row>
    <row r="46" spans="2:38">
      <c r="B46" s="3" t="s">
        <v>5</v>
      </c>
      <c r="C46" t="s">
        <v>26</v>
      </c>
    </row>
    <row r="47" spans="2:38">
      <c r="B47" s="3" t="s">
        <v>21</v>
      </c>
      <c r="C47" t="s">
        <v>27</v>
      </c>
    </row>
    <row r="48" spans="2:38">
      <c r="B48" t="s">
        <v>46</v>
      </c>
      <c r="C48" t="s">
        <v>28</v>
      </c>
    </row>
    <row r="49" spans="1:17">
      <c r="B49" s="3" t="s">
        <v>6</v>
      </c>
      <c r="C49" t="s">
        <v>29</v>
      </c>
    </row>
    <row r="50" spans="1:17">
      <c r="B50" s="3" t="s">
        <v>7</v>
      </c>
      <c r="C50" t="s">
        <v>45</v>
      </c>
    </row>
    <row r="51" spans="1:17">
      <c r="B51" s="3" t="s">
        <v>8</v>
      </c>
      <c r="C51" t="s">
        <v>30</v>
      </c>
    </row>
    <row r="52" spans="1:17">
      <c r="B52" s="3" t="s">
        <v>9</v>
      </c>
      <c r="C52" t="s">
        <v>31</v>
      </c>
    </row>
    <row r="53" spans="1:17">
      <c r="B53" s="3" t="s">
        <v>24</v>
      </c>
      <c r="C53" t="s">
        <v>32</v>
      </c>
    </row>
    <row r="54" spans="1:17">
      <c r="B54" s="3" t="s">
        <v>10</v>
      </c>
      <c r="C54" t="s">
        <v>33</v>
      </c>
    </row>
    <row r="55" spans="1:17">
      <c r="B55" s="3" t="s">
        <v>11</v>
      </c>
      <c r="C55" t="s">
        <v>35</v>
      </c>
    </row>
    <row r="56" spans="1:17">
      <c r="B56" s="3" t="s">
        <v>12</v>
      </c>
      <c r="C56" t="s">
        <v>34</v>
      </c>
    </row>
    <row r="57" spans="1:17">
      <c r="B57" s="3"/>
    </row>
    <row r="58" spans="1:17">
      <c r="B58" s="3"/>
    </row>
    <row r="59" spans="1:17">
      <c r="A59" s="20" t="s">
        <v>101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7">
      <c r="A60" s="48" t="s">
        <v>83</v>
      </c>
      <c r="B60" s="69" t="s">
        <v>13</v>
      </c>
      <c r="C60" s="69"/>
      <c r="D60" s="69"/>
      <c r="E60" s="69"/>
      <c r="F60" s="69"/>
      <c r="G60" s="70"/>
      <c r="H60" s="68" t="s">
        <v>48</v>
      </c>
      <c r="I60" s="69"/>
      <c r="J60" s="69"/>
      <c r="K60" s="69"/>
      <c r="L60" s="69"/>
      <c r="M60" s="70"/>
      <c r="N60" s="48"/>
      <c r="O60" s="61"/>
      <c r="P60" s="61"/>
      <c r="Q60" s="42"/>
    </row>
    <row r="61" spans="1:17">
      <c r="A61" s="27" t="s">
        <v>77</v>
      </c>
      <c r="B61" s="45" t="s">
        <v>1</v>
      </c>
      <c r="C61" s="46" t="s">
        <v>2</v>
      </c>
      <c r="D61" s="46" t="s">
        <v>3</v>
      </c>
      <c r="E61" s="46" t="s">
        <v>15</v>
      </c>
      <c r="F61" s="46" t="s">
        <v>4</v>
      </c>
      <c r="G61" s="46" t="s">
        <v>16</v>
      </c>
      <c r="H61" s="45" t="s">
        <v>1</v>
      </c>
      <c r="I61" s="46" t="s">
        <v>2</v>
      </c>
      <c r="J61" s="46" t="s">
        <v>3</v>
      </c>
      <c r="K61" s="46" t="s">
        <v>15</v>
      </c>
      <c r="L61" s="46" t="s">
        <v>4</v>
      </c>
      <c r="M61" s="47" t="s">
        <v>16</v>
      </c>
      <c r="N61" s="49" t="s">
        <v>93</v>
      </c>
      <c r="O61" s="29" t="s">
        <v>99</v>
      </c>
      <c r="P61" s="29" t="s">
        <v>100</v>
      </c>
      <c r="Q61" s="29" t="s">
        <v>55</v>
      </c>
    </row>
    <row r="62" spans="1:17">
      <c r="A62" s="4" t="s">
        <v>78</v>
      </c>
      <c r="B62" s="22">
        <v>118</v>
      </c>
      <c r="C62" s="23">
        <v>3.16</v>
      </c>
      <c r="D62" s="23">
        <v>1</v>
      </c>
      <c r="E62" s="24">
        <v>1</v>
      </c>
      <c r="F62" s="24">
        <v>6</v>
      </c>
      <c r="G62" s="16">
        <f>C62*B62</f>
        <v>372.88</v>
      </c>
      <c r="H62" s="43">
        <v>129</v>
      </c>
      <c r="I62" s="24">
        <v>4</v>
      </c>
      <c r="J62" s="24">
        <v>1</v>
      </c>
      <c r="K62" s="24">
        <v>0</v>
      </c>
      <c r="L62" s="24">
        <v>5</v>
      </c>
      <c r="M62" s="44">
        <f>I62*H62</f>
        <v>516</v>
      </c>
      <c r="N62" s="55">
        <f>H62-B62</f>
        <v>11</v>
      </c>
      <c r="O62" s="17">
        <f>H62/B62-1</f>
        <v>9.3220338983050821E-2</v>
      </c>
      <c r="P62" s="17">
        <f>I62/C62-1</f>
        <v>0.26582278481012644</v>
      </c>
      <c r="Q62" s="7">
        <f>M62/G62-1</f>
        <v>0.38382321390259611</v>
      </c>
    </row>
    <row r="63" spans="1:17">
      <c r="A63" s="4" t="s">
        <v>79</v>
      </c>
      <c r="B63" s="22">
        <v>172</v>
      </c>
      <c r="C63" s="39">
        <v>2.54</v>
      </c>
      <c r="D63" s="24">
        <v>1</v>
      </c>
      <c r="E63" s="24">
        <v>1</v>
      </c>
      <c r="F63" s="24">
        <v>11</v>
      </c>
      <c r="G63" s="16">
        <f>C63*B63</f>
        <v>436.88</v>
      </c>
      <c r="H63" s="43">
        <v>188</v>
      </c>
      <c r="I63" s="24">
        <v>3.5</v>
      </c>
      <c r="J63" s="24">
        <v>1</v>
      </c>
      <c r="K63" s="24">
        <v>0</v>
      </c>
      <c r="L63" s="24">
        <v>8</v>
      </c>
      <c r="M63" s="44">
        <f>I63*H63</f>
        <v>658</v>
      </c>
      <c r="N63" s="55">
        <f>H63-B63</f>
        <v>16</v>
      </c>
      <c r="O63" s="17">
        <f t="shared" ref="O63:O65" si="17">H63/B63-1</f>
        <v>9.3023255813953432E-2</v>
      </c>
      <c r="P63" s="17">
        <f t="shared" ref="P63:P65" si="18">I63/C63-1</f>
        <v>0.37795275590551181</v>
      </c>
      <c r="Q63" s="7">
        <f>M63/G63-1</f>
        <v>0.50613440761765238</v>
      </c>
    </row>
    <row r="64" spans="1:17">
      <c r="A64" s="4" t="s">
        <v>80</v>
      </c>
      <c r="B64" s="22">
        <v>66</v>
      </c>
      <c r="C64" s="16">
        <v>2.33</v>
      </c>
      <c r="D64" s="23">
        <v>1</v>
      </c>
      <c r="E64" s="23">
        <v>2</v>
      </c>
      <c r="F64" s="23">
        <v>2</v>
      </c>
      <c r="G64" s="16">
        <f>C64*B64</f>
        <v>153.78</v>
      </c>
      <c r="H64" s="22">
        <f>68</f>
        <v>68</v>
      </c>
      <c r="I64" s="24">
        <v>2.2999999999999998</v>
      </c>
      <c r="J64" s="24">
        <v>1</v>
      </c>
      <c r="K64" s="24">
        <v>1</v>
      </c>
      <c r="L64" s="23">
        <v>5</v>
      </c>
      <c r="M64" s="44">
        <f>I64*H64</f>
        <v>156.39999999999998</v>
      </c>
      <c r="N64" s="55">
        <f>H64-B64</f>
        <v>2</v>
      </c>
      <c r="O64" s="17">
        <f t="shared" si="17"/>
        <v>3.0303030303030276E-2</v>
      </c>
      <c r="P64" s="17">
        <f t="shared" si="18"/>
        <v>-1.2875536480686844E-2</v>
      </c>
      <c r="Q64" s="7">
        <f>M64/G64-1</f>
        <v>1.7037326050201473E-2</v>
      </c>
    </row>
    <row r="65" spans="1:17">
      <c r="A65" s="4" t="s">
        <v>81</v>
      </c>
      <c r="B65" s="22">
        <v>70</v>
      </c>
      <c r="C65" s="16">
        <v>2</v>
      </c>
      <c r="D65" s="23">
        <v>2</v>
      </c>
      <c r="E65" s="23">
        <v>0</v>
      </c>
      <c r="F65" s="23">
        <v>5</v>
      </c>
      <c r="G65" s="16">
        <f>C65*B65</f>
        <v>140</v>
      </c>
      <c r="H65" s="22">
        <v>83</v>
      </c>
      <c r="I65" s="24">
        <v>4</v>
      </c>
      <c r="J65" s="24">
        <v>1</v>
      </c>
      <c r="K65" s="24">
        <v>0</v>
      </c>
      <c r="L65" s="24">
        <v>4</v>
      </c>
      <c r="M65" s="44">
        <f>I65*H65</f>
        <v>332</v>
      </c>
      <c r="N65" s="55">
        <f>H65-B65</f>
        <v>13</v>
      </c>
      <c r="O65" s="17">
        <f t="shared" si="17"/>
        <v>0.18571428571428572</v>
      </c>
      <c r="P65" s="17">
        <f>I65/C65-1</f>
        <v>1</v>
      </c>
      <c r="Q65" s="7">
        <f>M65/G65-1</f>
        <v>1.3714285714285714</v>
      </c>
    </row>
    <row r="66" spans="1:17">
      <c r="A66" s="50" t="s">
        <v>82</v>
      </c>
      <c r="B66" s="54">
        <v>32</v>
      </c>
      <c r="C66" s="51">
        <v>3</v>
      </c>
      <c r="D66" s="51">
        <v>3</v>
      </c>
      <c r="E66" s="51">
        <v>0</v>
      </c>
      <c r="F66" s="51">
        <v>5</v>
      </c>
      <c r="G66" s="52">
        <f>C66*B66</f>
        <v>96</v>
      </c>
      <c r="H66" s="54">
        <v>330</v>
      </c>
      <c r="I66" s="52">
        <v>2.786</v>
      </c>
      <c r="J66" s="51">
        <v>2</v>
      </c>
      <c r="K66" s="51">
        <v>0</v>
      </c>
      <c r="L66" s="51">
        <v>28</v>
      </c>
      <c r="M66" s="56">
        <f>I66*H66</f>
        <v>919.38</v>
      </c>
      <c r="N66" s="53">
        <f>H66-B66</f>
        <v>298</v>
      </c>
      <c r="O66" s="53"/>
      <c r="P66" s="53"/>
      <c r="Q66" s="62">
        <f>M66/G66-1</f>
        <v>8.5768749999999994</v>
      </c>
    </row>
    <row r="67" spans="1:17">
      <c r="B67" s="3"/>
      <c r="D67" s="23"/>
      <c r="E67" s="16"/>
      <c r="F67" s="26"/>
      <c r="G67" s="26"/>
      <c r="H67" s="26"/>
      <c r="I67" s="16"/>
      <c r="N67" s="34"/>
      <c r="O67" s="34"/>
    </row>
    <row r="68" spans="1:17">
      <c r="A68" s="1" t="s">
        <v>17</v>
      </c>
      <c r="B68" s="3">
        <f>SUM(B62:B65)</f>
        <v>426</v>
      </c>
      <c r="C68" s="40">
        <f>AVERAGE(C62:C66)</f>
        <v>2.6060000000000003</v>
      </c>
      <c r="D68" s="3">
        <f t="shared" ref="D68:L68" si="19">SUM(D62:D65)</f>
        <v>5</v>
      </c>
      <c r="E68" s="3">
        <f t="shared" si="19"/>
        <v>4</v>
      </c>
      <c r="F68" s="3">
        <f t="shared" si="19"/>
        <v>24</v>
      </c>
      <c r="G68" s="3">
        <f t="shared" si="19"/>
        <v>1103.54</v>
      </c>
      <c r="H68" s="3">
        <f t="shared" si="19"/>
        <v>468</v>
      </c>
      <c r="I68" s="40">
        <f>AVERAGE(I62:I66)</f>
        <v>3.3172000000000006</v>
      </c>
      <c r="J68" s="3">
        <f t="shared" si="19"/>
        <v>4</v>
      </c>
      <c r="K68" s="3">
        <f t="shared" si="19"/>
        <v>1</v>
      </c>
      <c r="L68" s="3">
        <f t="shared" si="19"/>
        <v>22</v>
      </c>
      <c r="M68" s="3">
        <f>SUM(M62:M65)</f>
        <v>1662.4</v>
      </c>
      <c r="N68" s="34">
        <f>SUM(N62:N65)</f>
        <v>42</v>
      </c>
      <c r="O68" s="34"/>
      <c r="P68" s="57">
        <f>H68/B68-1</f>
        <v>9.8591549295774739E-2</v>
      </c>
      <c r="Q68" s="63">
        <f>B68/H68-1</f>
        <v>-8.9743589743589758E-2</v>
      </c>
    </row>
    <row r="69" spans="1:17">
      <c r="A69" t="s">
        <v>95</v>
      </c>
      <c r="B69" s="3"/>
      <c r="D69" s="6"/>
      <c r="E69" s="25"/>
      <c r="F69" s="26"/>
      <c r="G69" s="26"/>
      <c r="H69" s="26"/>
      <c r="I69" s="16"/>
    </row>
    <row r="70" spans="1:17">
      <c r="A70" t="s">
        <v>94</v>
      </c>
      <c r="B70" s="3"/>
      <c r="D70" s="6"/>
      <c r="E70" s="5"/>
      <c r="F70" s="26"/>
      <c r="G70" s="26"/>
      <c r="H70" s="26"/>
      <c r="I70" s="16"/>
    </row>
    <row r="71" spans="1:17">
      <c r="B71" s="3"/>
      <c r="D71" s="6"/>
      <c r="E71" s="21"/>
      <c r="F71" s="26"/>
      <c r="G71" s="26"/>
      <c r="H71" s="26"/>
      <c r="I71" s="16"/>
      <c r="N71" t="s">
        <v>102</v>
      </c>
      <c r="P71" s="32">
        <f>C68/I68</f>
        <v>0.78560231520559498</v>
      </c>
    </row>
    <row r="72" spans="1:17">
      <c r="B72" s="3"/>
      <c r="D72" s="23"/>
      <c r="E72" s="16"/>
      <c r="F72" s="23"/>
      <c r="G72" s="23"/>
      <c r="H72" s="23"/>
      <c r="I72" s="16"/>
    </row>
    <row r="73" spans="1:17">
      <c r="B73" s="3"/>
    </row>
    <row r="74" spans="1:17">
      <c r="B74" s="3"/>
      <c r="C74" s="6"/>
      <c r="D74" s="6"/>
      <c r="E74" s="6"/>
      <c r="F74" s="6"/>
      <c r="G74" s="6"/>
      <c r="H74" s="5"/>
      <c r="I74" s="41"/>
    </row>
    <row r="75" spans="1:17">
      <c r="B75" s="3"/>
      <c r="C75" s="6"/>
      <c r="D75" s="6"/>
      <c r="E75" s="6"/>
      <c r="F75" s="6"/>
      <c r="G75" s="6"/>
      <c r="H75" s="5"/>
      <c r="I75" s="41"/>
    </row>
    <row r="76" spans="1:17">
      <c r="B76" s="3"/>
      <c r="C76" s="6"/>
      <c r="D76" s="6"/>
      <c r="E76" s="6"/>
      <c r="F76" s="6"/>
      <c r="G76" s="6"/>
      <c r="H76" s="5"/>
      <c r="I76" s="41"/>
    </row>
    <row r="77" spans="1:17">
      <c r="B77" s="3"/>
      <c r="C77" s="6"/>
      <c r="D77" s="6"/>
      <c r="E77" s="6"/>
      <c r="F77" s="6"/>
      <c r="G77" s="6"/>
      <c r="H77" s="5"/>
      <c r="I77" s="41"/>
    </row>
    <row r="78" spans="1:17">
      <c r="A78" s="1" t="s">
        <v>84</v>
      </c>
      <c r="B78" s="3"/>
    </row>
    <row r="79" spans="1:17">
      <c r="B79" s="3"/>
      <c r="C79" s="64" t="s">
        <v>1</v>
      </c>
      <c r="D79" s="64"/>
      <c r="E79" s="64"/>
      <c r="F79" s="64"/>
      <c r="G79" s="64"/>
      <c r="H79" s="64"/>
      <c r="I79" s="64"/>
    </row>
    <row r="80" spans="1:17">
      <c r="A80" s="1" t="s">
        <v>54</v>
      </c>
      <c r="B80" s="1" t="s">
        <v>69</v>
      </c>
      <c r="C80" s="37" t="s">
        <v>13</v>
      </c>
      <c r="D80" s="37" t="s">
        <v>19</v>
      </c>
      <c r="E80" s="37" t="s">
        <v>23</v>
      </c>
      <c r="F80" s="37" t="s">
        <v>22</v>
      </c>
      <c r="G80" s="37" t="s">
        <v>72</v>
      </c>
      <c r="H80" s="37" t="s">
        <v>71</v>
      </c>
      <c r="I80" s="37" t="s">
        <v>70</v>
      </c>
    </row>
    <row r="81" spans="1:11">
      <c r="A81" t="s">
        <v>5</v>
      </c>
      <c r="B81" s="3" t="s">
        <v>5</v>
      </c>
      <c r="C81" s="34">
        <f>C10</f>
        <v>0</v>
      </c>
      <c r="D81" s="34">
        <f>J10</f>
        <v>87</v>
      </c>
      <c r="E81" s="34">
        <f>X10</f>
        <v>75</v>
      </c>
      <c r="F81" s="34">
        <f>Q10</f>
        <v>116</v>
      </c>
      <c r="G81" s="34">
        <f>AS10</f>
        <v>101</v>
      </c>
      <c r="H81" s="34">
        <f>AL10</f>
        <v>0</v>
      </c>
      <c r="I81" s="34">
        <f>AE10</f>
        <v>101</v>
      </c>
      <c r="K81" s="31"/>
    </row>
    <row r="82" spans="1:11">
      <c r="A82" t="s">
        <v>5</v>
      </c>
      <c r="B82" s="3" t="s">
        <v>6</v>
      </c>
      <c r="C82" s="34">
        <f>C13</f>
        <v>0</v>
      </c>
      <c r="D82" s="34">
        <f>J13</f>
        <v>0</v>
      </c>
      <c r="E82" s="34">
        <f>X13</f>
        <v>0</v>
      </c>
      <c r="F82" s="34">
        <f>Q13</f>
        <v>0</v>
      </c>
      <c r="G82" s="34">
        <f>AS13</f>
        <v>25</v>
      </c>
      <c r="H82" s="34">
        <f>AL13</f>
        <v>25</v>
      </c>
      <c r="I82" s="34">
        <f>AE13</f>
        <v>0</v>
      </c>
      <c r="K82" s="31"/>
    </row>
    <row r="83" spans="1:11">
      <c r="A83" t="s">
        <v>5</v>
      </c>
      <c r="B83" s="3" t="s">
        <v>7</v>
      </c>
      <c r="C83" s="34">
        <f>C20</f>
        <v>160</v>
      </c>
      <c r="D83" s="34">
        <f>J20</f>
        <v>155</v>
      </c>
      <c r="E83" s="34">
        <f>X20</f>
        <v>179</v>
      </c>
      <c r="F83" s="34">
        <f>Q20</f>
        <v>288</v>
      </c>
      <c r="G83" s="34">
        <f>AS20</f>
        <v>216</v>
      </c>
      <c r="H83" s="34">
        <f>AL20</f>
        <v>0</v>
      </c>
      <c r="I83" s="34">
        <f>AE20</f>
        <v>216</v>
      </c>
      <c r="K83" s="31"/>
    </row>
    <row r="84" spans="1:11">
      <c r="A84" t="s">
        <v>67</v>
      </c>
      <c r="B84" s="3" t="s">
        <v>21</v>
      </c>
      <c r="C84" s="34">
        <f>C11</f>
        <v>49</v>
      </c>
      <c r="D84" s="34">
        <f>J11</f>
        <v>108</v>
      </c>
      <c r="E84" s="34">
        <f>X11</f>
        <v>80</v>
      </c>
      <c r="F84" s="34">
        <f>Q11</f>
        <v>144</v>
      </c>
      <c r="G84" s="34">
        <f>AS11</f>
        <v>82</v>
      </c>
      <c r="H84" s="34">
        <f>AL11</f>
        <v>52</v>
      </c>
      <c r="I84" s="34">
        <f>AE11</f>
        <v>30</v>
      </c>
      <c r="K84" s="31"/>
    </row>
    <row r="85" spans="1:11">
      <c r="A85" t="s">
        <v>67</v>
      </c>
      <c r="B85" s="3" t="s">
        <v>46</v>
      </c>
      <c r="C85" s="34">
        <f>C12</f>
        <v>319</v>
      </c>
      <c r="D85" s="34">
        <f>J12</f>
        <v>319</v>
      </c>
      <c r="E85" s="34">
        <f>X12</f>
        <v>319</v>
      </c>
      <c r="F85" s="34">
        <f>Q12</f>
        <v>319</v>
      </c>
      <c r="G85" s="34">
        <f>AS12</f>
        <v>0</v>
      </c>
      <c r="H85" s="34">
        <f>AL12</f>
        <v>0</v>
      </c>
      <c r="I85" s="34">
        <f>AE12</f>
        <v>0</v>
      </c>
      <c r="K85" s="31"/>
    </row>
    <row r="86" spans="1:11">
      <c r="A86" t="s">
        <v>68</v>
      </c>
      <c r="B86" s="3" t="s">
        <v>8</v>
      </c>
      <c r="C86" s="34">
        <f t="shared" ref="C86:C91" si="20">C14</f>
        <v>204</v>
      </c>
      <c r="D86" s="34">
        <f t="shared" ref="D86:D91" si="21">J14</f>
        <v>204</v>
      </c>
      <c r="E86" s="34">
        <f t="shared" ref="E86:E91" si="22">X14</f>
        <v>241</v>
      </c>
      <c r="F86" s="34">
        <f t="shared" ref="F86:F91" si="23">Q14</f>
        <v>204</v>
      </c>
      <c r="G86" s="34">
        <f t="shared" ref="G86:G91" si="24">AS14</f>
        <v>204</v>
      </c>
      <c r="H86" s="34">
        <f t="shared" ref="H86:H91" si="25">AL14</f>
        <v>0</v>
      </c>
      <c r="I86" s="34">
        <f t="shared" ref="I86:I91" si="26">AE14</f>
        <v>204</v>
      </c>
      <c r="K86" s="31"/>
    </row>
    <row r="87" spans="1:11">
      <c r="A87" t="s">
        <v>68</v>
      </c>
      <c r="B87" s="3" t="s">
        <v>9</v>
      </c>
      <c r="C87" s="34">
        <f t="shared" si="20"/>
        <v>1</v>
      </c>
      <c r="D87" s="34">
        <f t="shared" si="21"/>
        <v>17</v>
      </c>
      <c r="E87" s="34">
        <f t="shared" si="22"/>
        <v>32</v>
      </c>
      <c r="F87" s="34">
        <f t="shared" si="23"/>
        <v>5</v>
      </c>
      <c r="G87" s="34">
        <f t="shared" si="24"/>
        <v>20</v>
      </c>
      <c r="H87" s="34">
        <f t="shared" si="25"/>
        <v>0</v>
      </c>
      <c r="I87" s="34">
        <f t="shared" si="26"/>
        <v>20</v>
      </c>
      <c r="K87" s="31"/>
    </row>
    <row r="88" spans="1:11">
      <c r="A88" t="s">
        <v>68</v>
      </c>
      <c r="B88" s="3" t="s">
        <v>24</v>
      </c>
      <c r="C88" s="34">
        <f t="shared" si="20"/>
        <v>303</v>
      </c>
      <c r="D88" s="34">
        <f t="shared" si="21"/>
        <v>310</v>
      </c>
      <c r="E88" s="34">
        <f t="shared" si="22"/>
        <v>311</v>
      </c>
      <c r="F88" s="34">
        <f t="shared" si="23"/>
        <v>311</v>
      </c>
      <c r="G88" s="34">
        <f t="shared" si="24"/>
        <v>256</v>
      </c>
      <c r="H88" s="34">
        <f t="shared" si="25"/>
        <v>256</v>
      </c>
      <c r="I88" s="34">
        <f t="shared" si="26"/>
        <v>0</v>
      </c>
      <c r="K88" s="31"/>
    </row>
    <row r="89" spans="1:11">
      <c r="A89" t="s">
        <v>68</v>
      </c>
      <c r="B89" s="3" t="s">
        <v>10</v>
      </c>
      <c r="C89" s="34">
        <f t="shared" si="20"/>
        <v>120</v>
      </c>
      <c r="D89" s="34">
        <f t="shared" si="21"/>
        <v>120</v>
      </c>
      <c r="E89" s="34">
        <f t="shared" si="22"/>
        <v>151</v>
      </c>
      <c r="F89" s="34">
        <f t="shared" si="23"/>
        <v>133</v>
      </c>
      <c r="G89" s="34">
        <f t="shared" si="24"/>
        <v>222</v>
      </c>
      <c r="H89" s="34">
        <f t="shared" si="25"/>
        <v>212</v>
      </c>
      <c r="I89" s="34">
        <f t="shared" si="26"/>
        <v>10</v>
      </c>
      <c r="K89" s="31"/>
    </row>
    <row r="90" spans="1:11">
      <c r="A90" t="s">
        <v>68</v>
      </c>
      <c r="B90" s="3" t="s">
        <v>11</v>
      </c>
      <c r="C90" s="34">
        <f t="shared" si="20"/>
        <v>45</v>
      </c>
      <c r="D90" s="34">
        <f t="shared" si="21"/>
        <v>51</v>
      </c>
      <c r="E90" s="34">
        <f t="shared" si="22"/>
        <v>70</v>
      </c>
      <c r="F90" s="34">
        <f t="shared" si="23"/>
        <v>40</v>
      </c>
      <c r="G90" s="34">
        <f t="shared" si="24"/>
        <v>51</v>
      </c>
      <c r="H90" s="34">
        <f t="shared" si="25"/>
        <v>0</v>
      </c>
      <c r="I90" s="34">
        <f t="shared" si="26"/>
        <v>51</v>
      </c>
      <c r="K90" s="31"/>
    </row>
    <row r="91" spans="1:11">
      <c r="A91" t="s">
        <v>68</v>
      </c>
      <c r="B91" s="3" t="s">
        <v>12</v>
      </c>
      <c r="C91" s="34">
        <f t="shared" si="20"/>
        <v>32</v>
      </c>
      <c r="D91" s="34">
        <f t="shared" si="21"/>
        <v>0</v>
      </c>
      <c r="E91" s="34">
        <f t="shared" si="22"/>
        <v>0</v>
      </c>
      <c r="F91" s="34">
        <f t="shared" si="23"/>
        <v>0</v>
      </c>
      <c r="G91" s="34">
        <f t="shared" si="24"/>
        <v>166</v>
      </c>
      <c r="H91" s="34">
        <f t="shared" si="25"/>
        <v>166</v>
      </c>
      <c r="I91" s="34">
        <f t="shared" si="26"/>
        <v>0</v>
      </c>
      <c r="K91" s="31"/>
    </row>
    <row r="92" spans="1:11">
      <c r="B92" s="1" t="s">
        <v>47</v>
      </c>
      <c r="C92" s="33">
        <f>SUM(C81:C91)</f>
        <v>1233</v>
      </c>
      <c r="D92" s="33">
        <f t="shared" ref="D92:I92" si="27">SUM(D81:D91)</f>
        <v>1371</v>
      </c>
      <c r="E92" s="33">
        <f t="shared" si="27"/>
        <v>1458</v>
      </c>
      <c r="F92" s="33">
        <f t="shared" si="27"/>
        <v>1560</v>
      </c>
      <c r="G92" s="33">
        <f t="shared" si="27"/>
        <v>1343</v>
      </c>
      <c r="H92" s="33">
        <f t="shared" si="27"/>
        <v>711</v>
      </c>
      <c r="I92" s="33">
        <f t="shared" si="27"/>
        <v>632</v>
      </c>
      <c r="K92" s="31"/>
    </row>
    <row r="93" spans="1:11">
      <c r="B93" s="3"/>
      <c r="C93" s="31"/>
      <c r="D93" s="31"/>
      <c r="E93" s="31"/>
      <c r="F93" s="31"/>
      <c r="G93" s="31"/>
      <c r="H93" s="31"/>
      <c r="I93" s="31"/>
      <c r="K93" s="31"/>
    </row>
    <row r="94" spans="1:11">
      <c r="B94" s="34"/>
      <c r="C94" s="35" t="s">
        <v>13</v>
      </c>
      <c r="D94" s="35" t="s">
        <v>19</v>
      </c>
      <c r="E94" s="35" t="s">
        <v>23</v>
      </c>
      <c r="F94" s="35" t="s">
        <v>22</v>
      </c>
      <c r="G94" s="35" t="s">
        <v>50</v>
      </c>
      <c r="H94" s="35" t="s">
        <v>48</v>
      </c>
      <c r="I94" s="35" t="s">
        <v>49</v>
      </c>
      <c r="K94" s="31"/>
    </row>
    <row r="95" spans="1:11">
      <c r="B95" s="35" t="s">
        <v>68</v>
      </c>
      <c r="C95" s="58">
        <f>C99</f>
        <v>705</v>
      </c>
      <c r="D95" s="58">
        <f>D99</f>
        <v>702</v>
      </c>
      <c r="E95" s="58">
        <f>E99</f>
        <v>805</v>
      </c>
      <c r="F95" s="58">
        <f>F99</f>
        <v>693</v>
      </c>
      <c r="G95" s="58">
        <f>H95+I95</f>
        <v>856.49295774647885</v>
      </c>
      <c r="H95" s="58">
        <f>H99-H99*P68</f>
        <v>571.49295774647885</v>
      </c>
      <c r="I95" s="58">
        <f>I99</f>
        <v>285</v>
      </c>
      <c r="K95" s="31"/>
    </row>
    <row r="96" spans="1:11">
      <c r="B96" s="35" t="s">
        <v>67</v>
      </c>
      <c r="C96" s="58">
        <f>SUM(C84:C85)</f>
        <v>368</v>
      </c>
      <c r="D96" s="58">
        <f>SUM(D84:D85)</f>
        <v>427</v>
      </c>
      <c r="E96" s="58">
        <f>SUM(E84:E85)</f>
        <v>399</v>
      </c>
      <c r="F96" s="58">
        <f>SUM(F84:F85)</f>
        <v>463</v>
      </c>
      <c r="G96" s="58">
        <f>H96+I96</f>
        <v>82</v>
      </c>
      <c r="H96" s="58">
        <f>SUM(H84:H85)</f>
        <v>52</v>
      </c>
      <c r="I96" s="58">
        <f>SUM(I84:I85)</f>
        <v>30</v>
      </c>
      <c r="K96" s="31"/>
    </row>
    <row r="97" spans="1:11">
      <c r="B97" s="35" t="s">
        <v>5</v>
      </c>
      <c r="C97" s="59">
        <f>C100</f>
        <v>160</v>
      </c>
      <c r="D97" s="59">
        <f>D100</f>
        <v>242</v>
      </c>
      <c r="E97" s="59">
        <f>E100</f>
        <v>254</v>
      </c>
      <c r="F97" s="59">
        <f>F100</f>
        <v>404</v>
      </c>
      <c r="G97" s="58">
        <f>H97+I97</f>
        <v>404.50704225352115</v>
      </c>
      <c r="H97" s="59">
        <f>H100+H99*P68</f>
        <v>87.507042253521178</v>
      </c>
      <c r="I97" s="59">
        <f>I100</f>
        <v>317</v>
      </c>
      <c r="K97" s="31"/>
    </row>
    <row r="98" spans="1:11">
      <c r="B98" s="35"/>
      <c r="C98" s="31"/>
      <c r="D98" s="31"/>
      <c r="E98" s="31"/>
      <c r="F98" s="31"/>
      <c r="G98" s="40"/>
      <c r="H98" s="31"/>
      <c r="I98" s="31"/>
      <c r="K98" s="31"/>
    </row>
    <row r="99" spans="1:11">
      <c r="B99" s="35" t="s">
        <v>85</v>
      </c>
      <c r="C99" s="40">
        <f>SUM(C86:C91)</f>
        <v>705</v>
      </c>
      <c r="D99" s="40">
        <f t="shared" ref="D99:I99" si="28">SUM(D86:D91)</f>
        <v>702</v>
      </c>
      <c r="E99" s="40">
        <f>SUM(E86:E91)</f>
        <v>805</v>
      </c>
      <c r="F99" s="40">
        <f t="shared" si="28"/>
        <v>693</v>
      </c>
      <c r="G99" s="40">
        <f>H99+I99</f>
        <v>919</v>
      </c>
      <c r="H99" s="40">
        <f t="shared" si="28"/>
        <v>634</v>
      </c>
      <c r="I99" s="40">
        <f t="shared" si="28"/>
        <v>285</v>
      </c>
      <c r="K99" s="31"/>
    </row>
    <row r="100" spans="1:11">
      <c r="B100" s="35" t="s">
        <v>86</v>
      </c>
      <c r="C100" s="31">
        <f>SUM(C81:C83)</f>
        <v>160</v>
      </c>
      <c r="D100" s="31">
        <f>SUM(D81:D83)</f>
        <v>242</v>
      </c>
      <c r="E100" s="31">
        <f>SUM(E81:E83)</f>
        <v>254</v>
      </c>
      <c r="F100" s="31">
        <f>SUM(F81:F83)</f>
        <v>404</v>
      </c>
      <c r="G100" s="40">
        <f>H100+I100</f>
        <v>342</v>
      </c>
      <c r="H100" s="31">
        <f>SUM(H81:H83)</f>
        <v>25</v>
      </c>
      <c r="I100" s="31">
        <f>SUM(I81:I83)</f>
        <v>317</v>
      </c>
      <c r="K100" s="31"/>
    </row>
    <row r="101" spans="1:11">
      <c r="B101" s="35"/>
      <c r="C101" s="31"/>
      <c r="D101" s="31"/>
      <c r="E101" s="31"/>
      <c r="F101" s="31"/>
      <c r="G101" s="40"/>
      <c r="H101" s="31"/>
      <c r="I101" s="31"/>
      <c r="K101" s="31"/>
    </row>
    <row r="102" spans="1:11">
      <c r="B102" s="35"/>
      <c r="C102" s="31"/>
      <c r="D102" s="31"/>
      <c r="E102" s="31"/>
      <c r="F102" s="31"/>
      <c r="G102" s="40"/>
      <c r="H102" s="31"/>
      <c r="I102" s="31"/>
      <c r="K102" s="31"/>
    </row>
    <row r="103" spans="1:11">
      <c r="B103" s="3"/>
      <c r="C103" s="31"/>
      <c r="D103" s="31"/>
      <c r="E103" s="31"/>
      <c r="F103" s="31"/>
      <c r="G103" s="31"/>
      <c r="H103" s="31"/>
      <c r="I103" s="31"/>
      <c r="K103" s="31"/>
    </row>
    <row r="104" spans="1:11">
      <c r="B104" s="3"/>
      <c r="C104" s="31"/>
      <c r="D104" s="31"/>
      <c r="E104" s="31"/>
      <c r="F104" s="31"/>
      <c r="G104" s="31"/>
      <c r="H104" s="31"/>
      <c r="I104" s="31"/>
      <c r="K104" s="31"/>
    </row>
    <row r="105" spans="1:11">
      <c r="B105" s="3"/>
      <c r="C105" s="31"/>
      <c r="D105" s="31"/>
      <c r="E105" s="31"/>
      <c r="F105" s="31"/>
      <c r="G105" s="31"/>
      <c r="H105" s="31"/>
      <c r="I105" s="31"/>
      <c r="K105" s="31"/>
    </row>
    <row r="106" spans="1:11">
      <c r="A106" s="1" t="s">
        <v>73</v>
      </c>
      <c r="B106" s="1"/>
      <c r="C106" s="31"/>
      <c r="D106" s="31"/>
      <c r="E106" s="31"/>
      <c r="F106" s="31"/>
      <c r="G106" s="31"/>
      <c r="H106" s="31"/>
      <c r="I106" s="31"/>
      <c r="K106" s="33"/>
    </row>
    <row r="108" spans="1:11">
      <c r="C108" s="64" t="s">
        <v>88</v>
      </c>
      <c r="D108" s="64"/>
      <c r="E108" s="64"/>
      <c r="F108" s="64"/>
      <c r="G108" s="64"/>
      <c r="H108" s="64"/>
      <c r="I108" s="64"/>
      <c r="J108" s="64"/>
    </row>
    <row r="109" spans="1:11" ht="15" customHeight="1">
      <c r="A109" s="1" t="s">
        <v>54</v>
      </c>
      <c r="B109" s="1" t="s">
        <v>69</v>
      </c>
      <c r="C109" s="37" t="str">
        <f>C6</f>
        <v>BFS</v>
      </c>
      <c r="D109" s="37" t="str">
        <f>J6</f>
        <v>Siena</v>
      </c>
      <c r="E109" s="37" t="str">
        <f>X6</f>
        <v>JavaSpaces</v>
      </c>
      <c r="F109" s="37" t="str">
        <f>Q6</f>
        <v>CORBA-NS</v>
      </c>
      <c r="G109" s="37" t="str">
        <f>AS6</f>
        <v>YANCEES (Cli.+Serv.)</v>
      </c>
      <c r="H109" s="37" t="str">
        <f>AL6</f>
        <v>YANCEES (Server)</v>
      </c>
      <c r="I109" s="37" t="str">
        <f>AE6</f>
        <v>YANCEES (Client)</v>
      </c>
      <c r="K109" t="s">
        <v>47</v>
      </c>
    </row>
    <row r="110" spans="1:11">
      <c r="A110" t="s">
        <v>5</v>
      </c>
      <c r="B110" s="3" t="s">
        <v>6</v>
      </c>
      <c r="C110" s="59">
        <f>H13</f>
        <v>0</v>
      </c>
      <c r="D110" s="59">
        <f>O13</f>
        <v>0</v>
      </c>
      <c r="E110" s="59">
        <f>AC13</f>
        <v>0</v>
      </c>
      <c r="F110" s="59">
        <f>V13</f>
        <v>0</v>
      </c>
      <c r="G110" s="59">
        <f>H110+I110</f>
        <v>37.5</v>
      </c>
      <c r="H110" s="59">
        <f>AQ13</f>
        <v>37.5</v>
      </c>
      <c r="I110" s="59">
        <f>AJ13</f>
        <v>0</v>
      </c>
      <c r="K110" s="31">
        <f t="shared" ref="K110:K115" si="29">SUM(C110:I110)</f>
        <v>75</v>
      </c>
    </row>
    <row r="111" spans="1:11">
      <c r="A111" t="s">
        <v>5</v>
      </c>
      <c r="B111" s="3" t="s">
        <v>5</v>
      </c>
      <c r="C111" s="59">
        <f>H10</f>
        <v>0</v>
      </c>
      <c r="D111" s="59">
        <f>O10</f>
        <v>174</v>
      </c>
      <c r="E111" s="59">
        <f>AC10</f>
        <v>106.71428571428571</v>
      </c>
      <c r="F111" s="59">
        <f>V10</f>
        <v>425.33333333333331</v>
      </c>
      <c r="G111" s="59">
        <f t="shared" ref="G111:G115" si="30">H111+I111</f>
        <v>269.33333333333331</v>
      </c>
      <c r="H111" s="59">
        <f>AQ10</f>
        <v>0</v>
      </c>
      <c r="I111" s="59">
        <f>AJ10</f>
        <v>269.33333333333331</v>
      </c>
      <c r="K111" s="31">
        <f t="shared" si="29"/>
        <v>1244.7142857142856</v>
      </c>
    </row>
    <row r="112" spans="1:11">
      <c r="A112" t="s">
        <v>5</v>
      </c>
      <c r="B112" s="3" t="s">
        <v>7</v>
      </c>
      <c r="C112" s="59">
        <f>H20</f>
        <v>298.65333333333336</v>
      </c>
      <c r="D112" s="59">
        <f>O20</f>
        <v>302.15970873786409</v>
      </c>
      <c r="E112" s="59">
        <f>AC20</f>
        <v>350.7857575757576</v>
      </c>
      <c r="F112" s="59">
        <f>V20</f>
        <v>589.58709677419358</v>
      </c>
      <c r="G112" s="59">
        <f t="shared" si="30"/>
        <v>337.16903225806453</v>
      </c>
      <c r="H112" s="59">
        <f>AQ20</f>
        <v>0</v>
      </c>
      <c r="I112" s="59">
        <f>AJ20</f>
        <v>337.16903225806453</v>
      </c>
      <c r="K112" s="31">
        <f t="shared" si="29"/>
        <v>2215.5239609372779</v>
      </c>
    </row>
    <row r="113" spans="1:11">
      <c r="A113" t="s">
        <v>67</v>
      </c>
      <c r="B113" s="3" t="s">
        <v>46</v>
      </c>
      <c r="C113" s="59">
        <f>H12</f>
        <v>452.89605263157898</v>
      </c>
      <c r="D113" s="59">
        <f>O12</f>
        <v>452.89605263157898</v>
      </c>
      <c r="E113" s="59">
        <f>AC12</f>
        <v>452.89605263157898</v>
      </c>
      <c r="F113" s="59">
        <f>V12</f>
        <v>452.89605263157898</v>
      </c>
      <c r="G113" s="59">
        <f t="shared" si="30"/>
        <v>0</v>
      </c>
      <c r="H113" s="59">
        <f>AQ12</f>
        <v>0</v>
      </c>
      <c r="I113" s="59">
        <f>AJ12</f>
        <v>0</v>
      </c>
      <c r="K113" s="31">
        <f t="shared" si="29"/>
        <v>1811.5842105263159</v>
      </c>
    </row>
    <row r="114" spans="1:11">
      <c r="A114" t="s">
        <v>67</v>
      </c>
      <c r="B114" s="3" t="s">
        <v>21</v>
      </c>
      <c r="C114" s="59">
        <f>H11</f>
        <v>89.833333333333329</v>
      </c>
      <c r="D114" s="59">
        <f>O11</f>
        <v>206.18181818181819</v>
      </c>
      <c r="E114" s="59">
        <f>AC11</f>
        <v>142.13333333333333</v>
      </c>
      <c r="F114" s="59">
        <f>V11</f>
        <v>432</v>
      </c>
      <c r="G114" s="59">
        <f t="shared" si="30"/>
        <v>250</v>
      </c>
      <c r="H114" s="59">
        <f>AQ11</f>
        <v>208</v>
      </c>
      <c r="I114" s="59">
        <f>AJ11</f>
        <v>42</v>
      </c>
      <c r="K114" s="31">
        <f t="shared" si="29"/>
        <v>1370.1484848484847</v>
      </c>
    </row>
    <row r="115" spans="1:11">
      <c r="A115" t="s">
        <v>68</v>
      </c>
      <c r="B115" s="3" t="s">
        <v>8</v>
      </c>
      <c r="C115" s="59">
        <f t="shared" ref="C115:C120" si="31">H14</f>
        <v>204</v>
      </c>
      <c r="D115" s="59">
        <f t="shared" ref="D115:D120" si="32">O14</f>
        <v>204</v>
      </c>
      <c r="E115" s="59">
        <f t="shared" ref="E115:E120" si="33">AC14</f>
        <v>208.86666666666667</v>
      </c>
      <c r="F115" s="59">
        <f t="shared" ref="F115:F120" si="34">V14</f>
        <v>204</v>
      </c>
      <c r="G115" s="59">
        <f t="shared" si="30"/>
        <v>204</v>
      </c>
      <c r="H115" s="59">
        <f>AQ14</f>
        <v>0</v>
      </c>
      <c r="I115" s="59">
        <f t="shared" ref="I115:I120" si="35">AJ14</f>
        <v>204</v>
      </c>
      <c r="K115" s="31">
        <f t="shared" si="29"/>
        <v>1228.8666666666668</v>
      </c>
    </row>
    <row r="116" spans="1:11">
      <c r="A116" t="s">
        <v>68</v>
      </c>
      <c r="B116" s="3" t="s">
        <v>9</v>
      </c>
      <c r="C116" s="59">
        <f t="shared" si="31"/>
        <v>1</v>
      </c>
      <c r="D116" s="59">
        <f t="shared" si="32"/>
        <v>42.5</v>
      </c>
      <c r="E116" s="59">
        <f t="shared" si="33"/>
        <v>128</v>
      </c>
      <c r="F116" s="59">
        <f t="shared" si="34"/>
        <v>5</v>
      </c>
      <c r="G116" s="59">
        <f>H116+I116</f>
        <v>50</v>
      </c>
      <c r="H116" s="59">
        <f>AQ15</f>
        <v>0</v>
      </c>
      <c r="I116" s="59">
        <f t="shared" si="35"/>
        <v>50</v>
      </c>
      <c r="K116" s="31">
        <f>SUM(C116:I116)</f>
        <v>276.5</v>
      </c>
    </row>
    <row r="117" spans="1:11">
      <c r="A117" t="s">
        <v>68</v>
      </c>
      <c r="B117" s="3" t="s">
        <v>24</v>
      </c>
      <c r="C117" s="59">
        <f t="shared" si="31"/>
        <v>729.22</v>
      </c>
      <c r="D117" s="59">
        <f t="shared" si="32"/>
        <v>738.1875</v>
      </c>
      <c r="E117" s="59">
        <f t="shared" si="33"/>
        <v>740.56875000000002</v>
      </c>
      <c r="F117" s="59">
        <f t="shared" si="34"/>
        <v>740.56875000000002</v>
      </c>
      <c r="G117" s="59">
        <f>H117+I117</f>
        <v>628.13090909090909</v>
      </c>
      <c r="H117" s="59">
        <f>AQ16</f>
        <v>628.13090909090909</v>
      </c>
      <c r="I117" s="59">
        <f t="shared" si="35"/>
        <v>0</v>
      </c>
      <c r="K117" s="31">
        <f>SUM(C117:I117)</f>
        <v>4204.806818181818</v>
      </c>
    </row>
    <row r="118" spans="1:11">
      <c r="A118" t="s">
        <v>68</v>
      </c>
      <c r="B118" s="3" t="s">
        <v>10</v>
      </c>
      <c r="C118" s="59">
        <f t="shared" si="31"/>
        <v>342.17142857142858</v>
      </c>
      <c r="D118" s="59">
        <f t="shared" si="32"/>
        <v>342.17142857142858</v>
      </c>
      <c r="E118" s="59">
        <f t="shared" si="33"/>
        <v>401.99555555555554</v>
      </c>
      <c r="F118" s="59">
        <f t="shared" si="34"/>
        <v>305.36800000000005</v>
      </c>
      <c r="G118" s="59">
        <f>H118+I118</f>
        <v>925.11111111111109</v>
      </c>
      <c r="H118" s="59">
        <f>AQ17</f>
        <v>895.11111111111109</v>
      </c>
      <c r="I118" s="59">
        <f t="shared" si="35"/>
        <v>30</v>
      </c>
      <c r="K118" s="31">
        <f>SUM(C118:I118)</f>
        <v>3241.928634920635</v>
      </c>
    </row>
    <row r="119" spans="1:11">
      <c r="A119" t="s">
        <v>68</v>
      </c>
      <c r="B119" s="3" t="s">
        <v>11</v>
      </c>
      <c r="C119" s="59">
        <f t="shared" si="31"/>
        <v>76.5</v>
      </c>
      <c r="D119" s="59">
        <f t="shared" si="32"/>
        <v>102</v>
      </c>
      <c r="E119" s="59">
        <f t="shared" si="33"/>
        <v>227.5</v>
      </c>
      <c r="F119" s="59">
        <f t="shared" si="34"/>
        <v>80</v>
      </c>
      <c r="G119" s="59">
        <f>H119+I119</f>
        <v>102</v>
      </c>
      <c r="H119" s="59">
        <f>AQ18</f>
        <v>0</v>
      </c>
      <c r="I119" s="59">
        <f t="shared" si="35"/>
        <v>102</v>
      </c>
      <c r="K119" s="31">
        <f>SUM(C119:I119)</f>
        <v>690</v>
      </c>
    </row>
    <row r="120" spans="1:11">
      <c r="A120" t="s">
        <v>68</v>
      </c>
      <c r="B120" t="s">
        <v>75</v>
      </c>
      <c r="C120" s="59">
        <f t="shared" si="31"/>
        <v>96</v>
      </c>
      <c r="D120" s="59">
        <f t="shared" si="32"/>
        <v>0</v>
      </c>
      <c r="E120" s="59">
        <f t="shared" si="33"/>
        <v>0</v>
      </c>
      <c r="F120" s="59">
        <f t="shared" si="34"/>
        <v>0</v>
      </c>
      <c r="G120" s="59">
        <f>H120+I120</f>
        <v>0</v>
      </c>
      <c r="H120" s="60">
        <v>0</v>
      </c>
      <c r="I120" s="59">
        <f t="shared" si="35"/>
        <v>0</v>
      </c>
      <c r="K120" s="31">
        <f>SUM(C120:I120)</f>
        <v>96</v>
      </c>
    </row>
    <row r="121" spans="1:11">
      <c r="B121" s="1"/>
      <c r="C121" s="31"/>
      <c r="D121" s="31"/>
      <c r="E121" s="31"/>
      <c r="F121" s="31"/>
      <c r="G121" s="31"/>
      <c r="H121" s="31"/>
      <c r="I121" s="31"/>
      <c r="K121" s="33">
        <f>SUM(K110:K120)</f>
        <v>16455.073061795483</v>
      </c>
    </row>
    <row r="122" spans="1:11">
      <c r="B122" s="1"/>
      <c r="C122" s="31"/>
      <c r="D122" s="31"/>
      <c r="E122" s="31"/>
      <c r="F122" s="31"/>
      <c r="G122" s="31"/>
      <c r="H122" s="31"/>
      <c r="I122" s="31"/>
      <c r="K122" s="33"/>
    </row>
    <row r="123" spans="1:11">
      <c r="C123" s="35" t="str">
        <f>C6</f>
        <v>BFS</v>
      </c>
      <c r="D123" s="35" t="str">
        <f>J6</f>
        <v>Siena</v>
      </c>
      <c r="E123" s="35" t="str">
        <f>X6</f>
        <v>JavaSpaces</v>
      </c>
      <c r="F123" s="35" t="str">
        <f>Q6</f>
        <v>CORBA-NS</v>
      </c>
      <c r="G123" s="35" t="str">
        <f>AS6</f>
        <v>YANCEES (Cli.+Serv.)</v>
      </c>
      <c r="H123" s="35" t="str">
        <f>AL6</f>
        <v>YANCEES (Server)</v>
      </c>
      <c r="I123" s="35" t="str">
        <f>AE6</f>
        <v>YANCEES (Client)</v>
      </c>
    </row>
    <row r="124" spans="1:11">
      <c r="A124" t="s">
        <v>5</v>
      </c>
      <c r="B124" s="1" t="s">
        <v>6</v>
      </c>
      <c r="C124" s="32">
        <f>I13</f>
        <v>0</v>
      </c>
      <c r="D124" s="32">
        <f>P13</f>
        <v>0</v>
      </c>
      <c r="E124" s="32">
        <f>AD13</f>
        <v>0</v>
      </c>
      <c r="F124" s="32">
        <f>W13</f>
        <v>0</v>
      </c>
      <c r="G124" s="32">
        <f>AY13</f>
        <v>1.167479599690917E-2</v>
      </c>
      <c r="H124" s="32">
        <f>AR13</f>
        <v>1.6543567669274454E-2</v>
      </c>
      <c r="I124" s="32">
        <f>AK13</f>
        <v>0</v>
      </c>
      <c r="K124" s="32">
        <f t="shared" ref="K124:K134" si="36">SUM(C124:I124)</f>
        <v>2.8218363666183625E-2</v>
      </c>
    </row>
    <row r="125" spans="1:11">
      <c r="A125" t="s">
        <v>5</v>
      </c>
      <c r="B125" s="1" t="s">
        <v>5</v>
      </c>
      <c r="C125" s="32">
        <f>I10</f>
        <v>0</v>
      </c>
      <c r="D125" s="32">
        <f>P10</f>
        <v>6.7860160274308315E-2</v>
      </c>
      <c r="E125" s="32">
        <f>AD10</f>
        <v>3.8672156939508914E-2</v>
      </c>
      <c r="F125" s="32">
        <f>W10</f>
        <v>0.13148864928196455</v>
      </c>
      <c r="G125" s="32">
        <f>AY10</f>
        <v>8.3850979248912078E-2</v>
      </c>
      <c r="H125" s="32">
        <f>AR10</f>
        <v>0</v>
      </c>
      <c r="I125" s="32">
        <f>AK10</f>
        <v>0.26035062102478856</v>
      </c>
      <c r="K125" s="32">
        <f t="shared" si="36"/>
        <v>0.58222256676948247</v>
      </c>
    </row>
    <row r="126" spans="1:11">
      <c r="A126" t="s">
        <v>5</v>
      </c>
      <c r="B126" s="1" t="s">
        <v>7</v>
      </c>
      <c r="C126" s="32">
        <f>I20</f>
        <v>0.13040069181723477</v>
      </c>
      <c r="D126" s="32">
        <f>P20</f>
        <v>0.11784256473212515</v>
      </c>
      <c r="E126" s="32">
        <f>AD20</f>
        <v>0.12712114201311858</v>
      </c>
      <c r="F126" s="32">
        <f>W20</f>
        <v>0.18226648351625466</v>
      </c>
      <c r="G126" s="32">
        <f>AY20</f>
        <v>0.10497012448235174</v>
      </c>
      <c r="H126" s="32">
        <f>AR20</f>
        <v>0</v>
      </c>
      <c r="I126" s="32">
        <f>AK20</f>
        <v>0.32592388714869092</v>
      </c>
      <c r="K126" s="32">
        <f t="shared" si="36"/>
        <v>0.98852489370977581</v>
      </c>
    </row>
    <row r="127" spans="1:11">
      <c r="A127" t="s">
        <v>67</v>
      </c>
      <c r="B127" s="1" t="s">
        <v>46</v>
      </c>
      <c r="C127" s="32">
        <f>I12</f>
        <v>0.19774752863225811</v>
      </c>
      <c r="D127" s="32">
        <f>P12</f>
        <v>0.17662987769643979</v>
      </c>
      <c r="E127" s="32">
        <f>AD12</f>
        <v>0.16412486020424041</v>
      </c>
      <c r="F127" s="32">
        <f>W12</f>
        <v>0.14000945977819715</v>
      </c>
      <c r="G127" s="32">
        <f>AY12</f>
        <v>0</v>
      </c>
      <c r="H127" s="32">
        <f>AR12</f>
        <v>0</v>
      </c>
      <c r="I127" s="32">
        <f>AK12</f>
        <v>0</v>
      </c>
      <c r="K127" s="32">
        <f t="shared" si="36"/>
        <v>0.67851172631113543</v>
      </c>
    </row>
    <row r="128" spans="1:11">
      <c r="A128" t="s">
        <v>67</v>
      </c>
      <c r="B128" s="1" t="s">
        <v>21</v>
      </c>
      <c r="C128" s="32">
        <f>I11</f>
        <v>3.9223834149677179E-2</v>
      </c>
      <c r="D128" s="32">
        <f>P11</f>
        <v>8.0411099008428036E-2</v>
      </c>
      <c r="E128" s="32">
        <f>AD11</f>
        <v>5.1507654633220087E-2</v>
      </c>
      <c r="F128" s="32">
        <f>W11</f>
        <v>0.13354959989766935</v>
      </c>
      <c r="G128" s="32">
        <f>AY11</f>
        <v>5.4704758385517249E-2</v>
      </c>
      <c r="H128" s="32">
        <f>AR11</f>
        <v>9.1761655338908968E-2</v>
      </c>
      <c r="I128" s="32">
        <f>AK11</f>
        <v>4.0599230506340796E-2</v>
      </c>
      <c r="K128" s="32">
        <f t="shared" si="36"/>
        <v>0.49175783191976163</v>
      </c>
    </row>
    <row r="129" spans="1:11">
      <c r="A129" t="s">
        <v>68</v>
      </c>
      <c r="B129" s="1" t="s">
        <v>9</v>
      </c>
      <c r="C129" s="32">
        <f>I15</f>
        <v>4.3662895157340085E-4</v>
      </c>
      <c r="D129" s="32">
        <f>P15</f>
        <v>1.6575039147460363E-2</v>
      </c>
      <c r="E129" s="32">
        <f>AD15</f>
        <v>4.6385880345113775E-2</v>
      </c>
      <c r="F129" s="32">
        <f>W15</f>
        <v>1.5457129617785803E-3</v>
      </c>
      <c r="G129" s="32">
        <f>AY15</f>
        <v>1.5566394662545559E-2</v>
      </c>
      <c r="H129" s="32">
        <f>AR15</f>
        <v>0</v>
      </c>
      <c r="I129" s="32">
        <f>AK15</f>
        <v>4.833241726945333E-2</v>
      </c>
      <c r="K129" s="32">
        <f t="shared" si="36"/>
        <v>0.12884207333792499</v>
      </c>
    </row>
    <row r="130" spans="1:11">
      <c r="A130" t="s">
        <v>68</v>
      </c>
      <c r="B130" s="1" t="s">
        <v>12</v>
      </c>
      <c r="C130" s="32">
        <f>I19</f>
        <v>4.191637935104648E-2</v>
      </c>
      <c r="D130" s="32">
        <f>P19</f>
        <v>0</v>
      </c>
      <c r="E130" s="32">
        <f>AD19</f>
        <v>0</v>
      </c>
      <c r="F130" s="32">
        <f>W19</f>
        <v>0</v>
      </c>
      <c r="G130" s="32">
        <f>AY19</f>
        <v>0.15504129083895377</v>
      </c>
      <c r="H130" s="32">
        <f>AR19</f>
        <v>0.21969857864796472</v>
      </c>
      <c r="I130" s="32">
        <f>AK19</f>
        <v>0</v>
      </c>
      <c r="K130" s="32">
        <f t="shared" si="36"/>
        <v>0.41665624883796493</v>
      </c>
    </row>
    <row r="131" spans="1:11">
      <c r="A131" t="s">
        <v>68</v>
      </c>
      <c r="B131" s="1" t="s">
        <v>8</v>
      </c>
      <c r="C131" s="32">
        <f>I14</f>
        <v>8.9072306120973777E-2</v>
      </c>
      <c r="D131" s="32">
        <f>P14</f>
        <v>7.9560187907809748E-2</v>
      </c>
      <c r="E131" s="32">
        <f>AD14</f>
        <v>7.5691126625646601E-2</v>
      </c>
      <c r="F131" s="32">
        <f>W14</f>
        <v>6.306508884056608E-2</v>
      </c>
      <c r="G131" s="32">
        <f>AY14</f>
        <v>6.3510890223185887E-2</v>
      </c>
      <c r="H131" s="32">
        <f>AR14</f>
        <v>0</v>
      </c>
      <c r="I131" s="32">
        <f>AK14</f>
        <v>0.19719626245936958</v>
      </c>
      <c r="K131" s="32">
        <f t="shared" si="36"/>
        <v>0.5680958621775517</v>
      </c>
    </row>
    <row r="132" spans="1:11">
      <c r="A132" t="s">
        <v>68</v>
      </c>
      <c r="B132" s="1" t="s">
        <v>11</v>
      </c>
      <c r="C132" s="32">
        <f>I18</f>
        <v>3.3402114795365166E-2</v>
      </c>
      <c r="D132" s="32">
        <f>P18</f>
        <v>3.9780093953904874E-2</v>
      </c>
      <c r="E132" s="32">
        <f>AD18</f>
        <v>8.2443654519635812E-2</v>
      </c>
      <c r="F132" s="32">
        <f>W18</f>
        <v>2.4731407388457284E-2</v>
      </c>
      <c r="G132" s="32">
        <f>AY18</f>
        <v>3.1755445111592943E-2</v>
      </c>
      <c r="H132" s="32">
        <f>AR18</f>
        <v>0</v>
      </c>
      <c r="I132" s="32">
        <f>AK18</f>
        <v>9.8598131229684791E-2</v>
      </c>
      <c r="K132" s="32">
        <f t="shared" si="36"/>
        <v>0.31071084699864088</v>
      </c>
    </row>
    <row r="133" spans="1:11">
      <c r="A133" t="s">
        <v>68</v>
      </c>
      <c r="B133" s="1" t="s">
        <v>10</v>
      </c>
      <c r="C133" s="32">
        <f>I17</f>
        <v>0.14940195211551568</v>
      </c>
      <c r="D133" s="32">
        <f>P17</f>
        <v>0.13344717232267922</v>
      </c>
      <c r="E133" s="32">
        <f>AD17</f>
        <v>0.14567904483802763</v>
      </c>
      <c r="F133" s="32">
        <f>W17</f>
        <v>9.4402255142480324E-2</v>
      </c>
      <c r="G133" s="32">
        <f>AY17</f>
        <v>0.28337064843697934</v>
      </c>
      <c r="H133" s="32">
        <f>AR17</f>
        <v>0.39488883301829625</v>
      </c>
      <c r="I133" s="32">
        <f>AK17</f>
        <v>2.8999450361671997E-2</v>
      </c>
      <c r="K133" s="32">
        <f t="shared" si="36"/>
        <v>1.2301893562356503</v>
      </c>
    </row>
    <row r="134" spans="1:11">
      <c r="A134" t="s">
        <v>68</v>
      </c>
      <c r="B134" s="1" t="s">
        <v>24</v>
      </c>
      <c r="C134" s="32">
        <f>I16</f>
        <v>0.31839856406635542</v>
      </c>
      <c r="D134" s="32">
        <f>P16</f>
        <v>0.28789380495684463</v>
      </c>
      <c r="E134" s="32">
        <f>AD16</f>
        <v>0.2683744798814881</v>
      </c>
      <c r="F134" s="32">
        <f>W16</f>
        <v>0.22894134319263221</v>
      </c>
      <c r="G134" s="32">
        <f>AY16</f>
        <v>0.19555467261305234</v>
      </c>
      <c r="H134" s="32">
        <f>AR16</f>
        <v>0.27710736532555558</v>
      </c>
      <c r="I134" s="32">
        <f>AK16</f>
        <v>0</v>
      </c>
      <c r="K134" s="32">
        <f t="shared" si="36"/>
        <v>1.5762702300359284</v>
      </c>
    </row>
    <row r="135" spans="1:11">
      <c r="B135" s="1"/>
      <c r="C135" s="36">
        <f t="shared" ref="C135:I135" si="37">SUM(C124:C134)</f>
        <v>1</v>
      </c>
      <c r="D135" s="36">
        <f t="shared" si="37"/>
        <v>1.0000000000000002</v>
      </c>
      <c r="E135" s="36">
        <f t="shared" si="37"/>
        <v>0.99999999999999989</v>
      </c>
      <c r="F135" s="36">
        <f t="shared" si="37"/>
        <v>1.0000000000000002</v>
      </c>
      <c r="G135" s="36">
        <f t="shared" si="37"/>
        <v>1</v>
      </c>
      <c r="H135" s="36">
        <f t="shared" si="37"/>
        <v>1</v>
      </c>
      <c r="I135" s="36">
        <f t="shared" si="37"/>
        <v>1</v>
      </c>
      <c r="K135" s="32"/>
    </row>
    <row r="136" spans="1:11">
      <c r="B136" s="1"/>
      <c r="C136" s="41"/>
      <c r="D136" s="41"/>
      <c r="E136" s="41"/>
      <c r="F136" s="41"/>
      <c r="G136" s="41"/>
      <c r="H136" s="41"/>
      <c r="I136" s="41"/>
      <c r="K136" s="32"/>
    </row>
    <row r="137" spans="1:11">
      <c r="B137" s="1"/>
      <c r="C137" s="64" t="s">
        <v>89</v>
      </c>
      <c r="D137" s="64"/>
      <c r="E137" s="64"/>
      <c r="F137" s="64"/>
      <c r="G137" s="64"/>
      <c r="H137" s="64"/>
      <c r="I137" s="64"/>
      <c r="J137" s="64"/>
      <c r="K137" s="32"/>
    </row>
    <row r="138" spans="1:11">
      <c r="B138" s="34"/>
      <c r="C138" s="35" t="str">
        <f>C6</f>
        <v>BFS</v>
      </c>
      <c r="D138" s="35" t="str">
        <f>J6</f>
        <v>Siena</v>
      </c>
      <c r="E138" s="35" t="str">
        <f>X6</f>
        <v>JavaSpaces</v>
      </c>
      <c r="F138" s="35" t="str">
        <f>Q6</f>
        <v>CORBA-NS</v>
      </c>
      <c r="G138" s="35" t="str">
        <f>AS6</f>
        <v>YANCEES (Cli.+Serv.)</v>
      </c>
      <c r="H138" s="35" t="str">
        <f>AL6</f>
        <v>YANCEES (Server)</v>
      </c>
      <c r="I138" s="35" t="str">
        <f>AE6</f>
        <v>YANCEES (Client)</v>
      </c>
      <c r="J138" s="34"/>
      <c r="K138" s="34"/>
    </row>
    <row r="139" spans="1:11">
      <c r="B139" s="35" t="s">
        <v>68</v>
      </c>
      <c r="C139" s="58">
        <f>SUM(C115:C120)</f>
        <v>1448.8914285714286</v>
      </c>
      <c r="D139" s="58">
        <f>SUM(D115:D120)</f>
        <v>1428.8589285714286</v>
      </c>
      <c r="E139" s="58">
        <f>SUM(E115:E120)</f>
        <v>1706.9309722222222</v>
      </c>
      <c r="F139" s="58">
        <f>SUM(F115:F120)</f>
        <v>1334.9367500000001</v>
      </c>
      <c r="G139" s="58">
        <f>H139+I139</f>
        <v>1871.7420202020203</v>
      </c>
      <c r="H139" s="60">
        <f>SUM(H115:H120)-C144</f>
        <v>1485.7420202020203</v>
      </c>
      <c r="I139" s="58">
        <f>SUM(I115:I120)</f>
        <v>386</v>
      </c>
      <c r="J139" s="34"/>
      <c r="K139" s="34" t="s">
        <v>91</v>
      </c>
    </row>
    <row r="140" spans="1:11">
      <c r="B140" s="35" t="s">
        <v>67</v>
      </c>
      <c r="C140" s="58">
        <f>SUM(C113:C114)</f>
        <v>542.72938596491235</v>
      </c>
      <c r="D140" s="58">
        <f>SUM(D113:D114)</f>
        <v>659.07787081339711</v>
      </c>
      <c r="E140" s="58">
        <f>SUM(E113:E114)</f>
        <v>595.02938596491231</v>
      </c>
      <c r="F140" s="58">
        <f>SUM(F113:F114)</f>
        <v>884.89605263157898</v>
      </c>
      <c r="G140" s="58">
        <f>H140+I140</f>
        <v>250</v>
      </c>
      <c r="H140" s="58">
        <f>SUM(H113:H114)</f>
        <v>208</v>
      </c>
      <c r="I140" s="58">
        <f>SUM(I113:I114)</f>
        <v>42</v>
      </c>
      <c r="K140" s="32"/>
    </row>
    <row r="141" spans="1:11">
      <c r="B141" s="35" t="s">
        <v>5</v>
      </c>
      <c r="C141" s="59">
        <f>SUM(C110:C112)</f>
        <v>298.65333333333336</v>
      </c>
      <c r="D141" s="59">
        <f>SUM(D110:D112)</f>
        <v>476.15970873786409</v>
      </c>
      <c r="E141" s="59">
        <f>SUM(E110:E112)</f>
        <v>457.50004329004332</v>
      </c>
      <c r="F141" s="59">
        <f>SUM(F110:F112)</f>
        <v>1014.920430107527</v>
      </c>
      <c r="G141" s="58">
        <f>H141+I141</f>
        <v>681.50236559139785</v>
      </c>
      <c r="H141" s="60">
        <f>SUM(H110:H112)+C144</f>
        <v>75</v>
      </c>
      <c r="I141" s="59">
        <f>SUM(I110:I112)</f>
        <v>606.50236559139785</v>
      </c>
      <c r="K141" s="32" t="s">
        <v>90</v>
      </c>
    </row>
    <row r="142" spans="1:11">
      <c r="B142" s="1" t="s">
        <v>92</v>
      </c>
      <c r="C142" s="59">
        <f>C139</f>
        <v>1448.8914285714286</v>
      </c>
      <c r="D142" s="59">
        <f>D139</f>
        <v>1428.8589285714286</v>
      </c>
      <c r="E142" s="59">
        <f>E139</f>
        <v>1706.9309722222222</v>
      </c>
      <c r="F142" s="59">
        <f>F139</f>
        <v>1334.9367500000001</v>
      </c>
      <c r="G142" s="59">
        <f>H142+I142</f>
        <v>1871.7420202020203</v>
      </c>
      <c r="H142" s="60">
        <f>H139-H120</f>
        <v>1485.7420202020203</v>
      </c>
      <c r="I142" s="59">
        <f>I139</f>
        <v>386</v>
      </c>
      <c r="K142" t="s">
        <v>76</v>
      </c>
    </row>
    <row r="143" spans="1:11">
      <c r="B143" s="1"/>
      <c r="C143" s="59"/>
      <c r="D143" s="59"/>
      <c r="E143" s="59"/>
      <c r="F143" s="59"/>
      <c r="G143" s="59"/>
      <c r="H143" s="59"/>
      <c r="I143" s="59"/>
    </row>
    <row r="144" spans="1:11">
      <c r="B144" s="1" t="s">
        <v>96</v>
      </c>
      <c r="C144" s="59">
        <f>1*25*1.5</f>
        <v>37.5</v>
      </c>
      <c r="D144" s="59" t="s">
        <v>97</v>
      </c>
      <c r="E144" s="59"/>
      <c r="F144" s="59"/>
      <c r="G144" s="59"/>
      <c r="H144" s="59"/>
      <c r="I144" s="59"/>
    </row>
    <row r="145" spans="2:9">
      <c r="B145" s="1"/>
      <c r="C145" s="32"/>
      <c r="D145" s="32"/>
      <c r="E145" s="32"/>
      <c r="F145" s="32"/>
      <c r="G145" s="32"/>
      <c r="H145" s="32"/>
      <c r="I145" s="32"/>
    </row>
    <row r="146" spans="2:9">
      <c r="B146" s="1"/>
      <c r="C146" s="32" t="s">
        <v>87</v>
      </c>
      <c r="D146" s="32"/>
      <c r="E146" s="32"/>
      <c r="F146" s="32"/>
      <c r="G146" s="32"/>
      <c r="H146" s="32"/>
      <c r="I146" s="32"/>
    </row>
    <row r="147" spans="2:9">
      <c r="B147" s="1"/>
      <c r="C147" s="32"/>
      <c r="D147" s="32"/>
      <c r="E147" s="32"/>
      <c r="F147" s="32"/>
      <c r="G147" s="32"/>
      <c r="H147" s="32"/>
      <c r="I147" s="32"/>
    </row>
    <row r="207" spans="2:2">
      <c r="B207" s="1" t="s">
        <v>74</v>
      </c>
    </row>
    <row r="209" spans="2:13">
      <c r="B209" s="3" t="s">
        <v>51</v>
      </c>
      <c r="C209" s="3" t="s">
        <v>52</v>
      </c>
      <c r="D209" s="3" t="s">
        <v>53</v>
      </c>
      <c r="E209" s="3" t="s">
        <v>54</v>
      </c>
      <c r="F209" s="23" t="s">
        <v>0</v>
      </c>
      <c r="G209" s="38" t="s">
        <v>1</v>
      </c>
      <c r="H209" s="38" t="s">
        <v>2</v>
      </c>
      <c r="I209" s="38" t="s">
        <v>3</v>
      </c>
      <c r="J209" s="38" t="s">
        <v>15</v>
      </c>
      <c r="K209" s="38" t="s">
        <v>4</v>
      </c>
      <c r="L209" s="38" t="s">
        <v>16</v>
      </c>
      <c r="M209" s="38" t="s">
        <v>55</v>
      </c>
    </row>
    <row r="210" spans="2:13">
      <c r="B210" s="3" t="s">
        <v>56</v>
      </c>
      <c r="C210" s="3" t="s">
        <v>56</v>
      </c>
      <c r="D210" s="3" t="s">
        <v>56</v>
      </c>
      <c r="E210" s="3" t="s">
        <v>56</v>
      </c>
      <c r="F210" s="3" t="s">
        <v>56</v>
      </c>
      <c r="G210" s="3" t="s">
        <v>57</v>
      </c>
      <c r="H210" s="3" t="s">
        <v>58</v>
      </c>
      <c r="I210" s="3" t="s">
        <v>57</v>
      </c>
      <c r="J210" s="3" t="s">
        <v>57</v>
      </c>
      <c r="K210" s="3" t="s">
        <v>57</v>
      </c>
      <c r="L210" s="3" t="s">
        <v>58</v>
      </c>
      <c r="M210" s="3" t="s">
        <v>58</v>
      </c>
    </row>
    <row r="211" spans="2:13">
      <c r="B211" s="3" t="s">
        <v>65</v>
      </c>
      <c r="C211" s="3" t="s">
        <v>13</v>
      </c>
      <c r="D211" s="3" t="s">
        <v>59</v>
      </c>
      <c r="E211" s="3" t="s">
        <v>60</v>
      </c>
      <c r="F211" s="3" t="s">
        <v>5</v>
      </c>
      <c r="G211" s="23">
        <v>0</v>
      </c>
      <c r="H211" s="16">
        <v>0</v>
      </c>
      <c r="I211" s="23">
        <v>0</v>
      </c>
      <c r="J211" s="24">
        <v>0</v>
      </c>
      <c r="K211" s="24">
        <v>0</v>
      </c>
      <c r="L211" s="16">
        <f t="shared" ref="L211:L242" si="38">G211*H211</f>
        <v>0</v>
      </c>
      <c r="M211" s="16">
        <f t="shared" ref="M211:M221" si="39">L211/$H$22</f>
        <v>0</v>
      </c>
    </row>
    <row r="212" spans="2:13">
      <c r="B212" s="3" t="s">
        <v>65</v>
      </c>
      <c r="C212" s="3" t="s">
        <v>13</v>
      </c>
      <c r="D212" s="3" t="s">
        <v>59</v>
      </c>
      <c r="E212" s="3" t="s">
        <v>60</v>
      </c>
      <c r="F212" s="3" t="s">
        <v>21</v>
      </c>
      <c r="G212" s="23">
        <f>32+(4+5+4+4)</f>
        <v>49</v>
      </c>
      <c r="H212" s="16">
        <f>(3.5*2+1*4)/K212</f>
        <v>1.8333333333333333</v>
      </c>
      <c r="I212" s="23">
        <v>1</v>
      </c>
      <c r="J212" s="24">
        <v>0</v>
      </c>
      <c r="K212" s="24">
        <v>6</v>
      </c>
      <c r="L212" s="16">
        <f t="shared" si="38"/>
        <v>89.833333333333329</v>
      </c>
      <c r="M212" s="16">
        <f t="shared" si="39"/>
        <v>3.9223834149677179E-2</v>
      </c>
    </row>
    <row r="213" spans="2:13">
      <c r="B213" s="3" t="s">
        <v>65</v>
      </c>
      <c r="C213" s="3" t="s">
        <v>13</v>
      </c>
      <c r="D213" s="3" t="s">
        <v>59</v>
      </c>
      <c r="E213" s="3" t="s">
        <v>60</v>
      </c>
      <c r="F213" s="3" t="s">
        <v>61</v>
      </c>
      <c r="G213" s="23">
        <f>132+28+29+110+13+7</f>
        <v>319</v>
      </c>
      <c r="H213" s="16">
        <f>(13*2.15+1*5+5*1.2+5*3)/K213</f>
        <v>1.4197368421052632</v>
      </c>
      <c r="I213" s="23">
        <v>5</v>
      </c>
      <c r="J213" s="23">
        <v>2</v>
      </c>
      <c r="K213" s="23">
        <f>13+15+5+5</f>
        <v>38</v>
      </c>
      <c r="L213" s="16">
        <f t="shared" si="38"/>
        <v>452.89605263157898</v>
      </c>
      <c r="M213" s="16">
        <f t="shared" si="39"/>
        <v>0.19774752863225811</v>
      </c>
    </row>
    <row r="214" spans="2:13">
      <c r="B214" s="3" t="s">
        <v>65</v>
      </c>
      <c r="C214" s="3" t="s">
        <v>13</v>
      </c>
      <c r="D214" s="3" t="s">
        <v>59</v>
      </c>
      <c r="E214" s="3" t="s">
        <v>60</v>
      </c>
      <c r="F214" s="3" t="s">
        <v>6</v>
      </c>
      <c r="G214" s="23">
        <v>0</v>
      </c>
      <c r="H214" s="16">
        <v>0</v>
      </c>
      <c r="I214" s="23">
        <v>0</v>
      </c>
      <c r="J214" s="23">
        <v>0</v>
      </c>
      <c r="K214" s="23">
        <v>0</v>
      </c>
      <c r="L214" s="16">
        <f t="shared" si="38"/>
        <v>0</v>
      </c>
      <c r="M214" s="16">
        <f t="shared" si="39"/>
        <v>0</v>
      </c>
    </row>
    <row r="215" spans="2:13">
      <c r="B215" s="3" t="s">
        <v>65</v>
      </c>
      <c r="C215" s="3" t="s">
        <v>13</v>
      </c>
      <c r="D215" s="3" t="s">
        <v>59</v>
      </c>
      <c r="E215" s="3" t="s">
        <v>62</v>
      </c>
      <c r="F215" s="3" t="s">
        <v>8</v>
      </c>
      <c r="G215" s="23">
        <f>42+77+19+14+10+42</f>
        <v>204</v>
      </c>
      <c r="H215" s="16">
        <f>(7*1+12*1+7*1)/K215</f>
        <v>1</v>
      </c>
      <c r="I215" s="23">
        <v>3</v>
      </c>
      <c r="J215" s="23">
        <v>3</v>
      </c>
      <c r="K215" s="23">
        <v>26</v>
      </c>
      <c r="L215" s="16">
        <f t="shared" si="38"/>
        <v>204</v>
      </c>
      <c r="M215" s="16">
        <f t="shared" si="39"/>
        <v>8.9072306120973777E-2</v>
      </c>
    </row>
    <row r="216" spans="2:13">
      <c r="B216" s="3" t="s">
        <v>65</v>
      </c>
      <c r="C216" s="3" t="s">
        <v>13</v>
      </c>
      <c r="D216" s="3" t="s">
        <v>59</v>
      </c>
      <c r="E216" s="3" t="s">
        <v>62</v>
      </c>
      <c r="F216" s="3" t="s">
        <v>9</v>
      </c>
      <c r="G216" s="23">
        <v>1</v>
      </c>
      <c r="H216" s="16">
        <v>1</v>
      </c>
      <c r="I216" s="24">
        <v>0</v>
      </c>
      <c r="J216" s="24">
        <v>1</v>
      </c>
      <c r="K216" s="24">
        <v>0</v>
      </c>
      <c r="L216" s="16">
        <f t="shared" si="38"/>
        <v>1</v>
      </c>
      <c r="M216" s="16">
        <f t="shared" si="39"/>
        <v>4.3662895157340085E-4</v>
      </c>
    </row>
    <row r="217" spans="2:13">
      <c r="B217" s="3" t="s">
        <v>65</v>
      </c>
      <c r="C217" s="3" t="s">
        <v>13</v>
      </c>
      <c r="D217" s="3" t="s">
        <v>59</v>
      </c>
      <c r="E217" s="3" t="s">
        <v>62</v>
      </c>
      <c r="F217" s="3" t="s">
        <v>66</v>
      </c>
      <c r="G217" s="23">
        <f>5+167+70+53+8</f>
        <v>303</v>
      </c>
      <c r="H217" s="16">
        <f>(11*2.5+2*2+2*2.3)/K217</f>
        <v>2.4066666666666667</v>
      </c>
      <c r="I217" s="23">
        <v>3</v>
      </c>
      <c r="J217" s="23">
        <v>2</v>
      </c>
      <c r="K217" s="23">
        <v>15</v>
      </c>
      <c r="L217" s="16">
        <f t="shared" si="38"/>
        <v>729.22</v>
      </c>
      <c r="M217" s="16">
        <f t="shared" si="39"/>
        <v>0.31839856406635542</v>
      </c>
    </row>
    <row r="218" spans="2:13">
      <c r="B218" s="3" t="s">
        <v>65</v>
      </c>
      <c r="C218" s="3" t="s">
        <v>13</v>
      </c>
      <c r="D218" s="3" t="s">
        <v>59</v>
      </c>
      <c r="E218" s="3" t="s">
        <v>62</v>
      </c>
      <c r="F218" s="3" t="s">
        <v>10</v>
      </c>
      <c r="G218" s="23">
        <f>113+5+(2)</f>
        <v>120</v>
      </c>
      <c r="H218" s="16">
        <f>(6*3.16+1)/K218</f>
        <v>2.8514285714285714</v>
      </c>
      <c r="I218" s="24">
        <v>2</v>
      </c>
      <c r="J218" s="24">
        <v>1</v>
      </c>
      <c r="K218" s="24">
        <v>7</v>
      </c>
      <c r="L218" s="16">
        <f t="shared" si="38"/>
        <v>342.17142857142858</v>
      </c>
      <c r="M218" s="16">
        <f t="shared" si="39"/>
        <v>0.14940195211551568</v>
      </c>
    </row>
    <row r="219" spans="2:13">
      <c r="B219" s="3" t="s">
        <v>65</v>
      </c>
      <c r="C219" s="3" t="s">
        <v>13</v>
      </c>
      <c r="D219" s="3" t="s">
        <v>59</v>
      </c>
      <c r="E219" s="3" t="s">
        <v>62</v>
      </c>
      <c r="F219" s="3" t="s">
        <v>11</v>
      </c>
      <c r="G219" s="23">
        <f>5+17+(8+2+8)+(1+1+1)+(1+1+0+0)</f>
        <v>45</v>
      </c>
      <c r="H219" s="16">
        <f>(3*1+4+1+4+(1+1+1)+(1+1))/K219</f>
        <v>1.7</v>
      </c>
      <c r="I219" s="24">
        <v>4</v>
      </c>
      <c r="J219" s="24">
        <v>1</v>
      </c>
      <c r="K219" s="24">
        <v>10</v>
      </c>
      <c r="L219" s="16">
        <f t="shared" si="38"/>
        <v>76.5</v>
      </c>
      <c r="M219" s="16">
        <f t="shared" si="39"/>
        <v>3.3402114795365166E-2</v>
      </c>
    </row>
    <row r="220" spans="2:13">
      <c r="B220" s="3" t="s">
        <v>65</v>
      </c>
      <c r="C220" s="3" t="s">
        <v>13</v>
      </c>
      <c r="D220" s="3" t="s">
        <v>59</v>
      </c>
      <c r="E220" s="3" t="s">
        <v>62</v>
      </c>
      <c r="F220" s="3" t="s">
        <v>12</v>
      </c>
      <c r="G220" s="23">
        <f>2+(9+6)+(9+6)</f>
        <v>32</v>
      </c>
      <c r="H220" s="16">
        <f>AVERAGE(1,4,3,4,3)</f>
        <v>3</v>
      </c>
      <c r="I220" s="24">
        <v>3</v>
      </c>
      <c r="J220" s="24">
        <v>0</v>
      </c>
      <c r="K220" s="24">
        <v>5</v>
      </c>
      <c r="L220" s="16">
        <f t="shared" si="38"/>
        <v>96</v>
      </c>
      <c r="M220" s="16">
        <f t="shared" si="39"/>
        <v>4.191637935104648E-2</v>
      </c>
    </row>
    <row r="221" spans="2:13">
      <c r="B221" s="3" t="s">
        <v>65</v>
      </c>
      <c r="C221" s="3" t="s">
        <v>13</v>
      </c>
      <c r="D221" s="3" t="s">
        <v>59</v>
      </c>
      <c r="E221" s="3" t="s">
        <v>60</v>
      </c>
      <c r="F221" s="3" t="s">
        <v>7</v>
      </c>
      <c r="G221" s="23">
        <v>160</v>
      </c>
      <c r="H221" s="16">
        <v>1.87</v>
      </c>
      <c r="I221" s="23"/>
      <c r="J221" s="23"/>
      <c r="K221" s="23"/>
      <c r="L221" s="16">
        <f t="shared" si="38"/>
        <v>299.20000000000005</v>
      </c>
      <c r="M221" s="16">
        <f t="shared" si="39"/>
        <v>0.13063938231076155</v>
      </c>
    </row>
    <row r="222" spans="2:13">
      <c r="B222" s="3" t="s">
        <v>65</v>
      </c>
      <c r="C222" s="3" t="s">
        <v>19</v>
      </c>
      <c r="D222" s="3" t="s">
        <v>59</v>
      </c>
      <c r="E222" s="3" t="s">
        <v>60</v>
      </c>
      <c r="F222" s="23" t="s">
        <v>5</v>
      </c>
      <c r="G222" s="23">
        <f>70+17</f>
        <v>87</v>
      </c>
      <c r="H222" s="23">
        <f>(5*1.8+1*3)/K222</f>
        <v>2</v>
      </c>
      <c r="I222" s="23">
        <v>2</v>
      </c>
      <c r="J222" s="23">
        <v>0</v>
      </c>
      <c r="K222" s="23">
        <v>6</v>
      </c>
      <c r="L222" s="16">
        <f t="shared" si="38"/>
        <v>174</v>
      </c>
      <c r="M222" s="16">
        <f t="shared" ref="M222:M232" si="40">L222/$O$22</f>
        <v>6.7860160274308315E-2</v>
      </c>
    </row>
    <row r="223" spans="2:13">
      <c r="B223" s="3" t="s">
        <v>65</v>
      </c>
      <c r="C223" s="3" t="s">
        <v>19</v>
      </c>
      <c r="D223" s="3" t="s">
        <v>59</v>
      </c>
      <c r="E223" s="3" t="s">
        <v>60</v>
      </c>
      <c r="F223" s="23" t="s">
        <v>21</v>
      </c>
      <c r="G223" s="23">
        <f>32+(5+6+5+5+4)+51</f>
        <v>108</v>
      </c>
      <c r="H223" s="39">
        <f>(2*3.5+2+1+1+1+1+4*2)/K223</f>
        <v>1.9090909090909092</v>
      </c>
      <c r="I223" s="24">
        <v>2</v>
      </c>
      <c r="J223" s="24">
        <v>0</v>
      </c>
      <c r="K223" s="24">
        <f>7+4</f>
        <v>11</v>
      </c>
      <c r="L223" s="16">
        <f t="shared" si="38"/>
        <v>206.18181818181819</v>
      </c>
      <c r="M223" s="16">
        <f t="shared" si="40"/>
        <v>8.0411099008428036E-2</v>
      </c>
    </row>
    <row r="224" spans="2:13">
      <c r="B224" s="3" t="s">
        <v>65</v>
      </c>
      <c r="C224" s="3" t="s">
        <v>19</v>
      </c>
      <c r="D224" s="3" t="s">
        <v>59</v>
      </c>
      <c r="E224" s="3" t="s">
        <v>60</v>
      </c>
      <c r="F224" s="23" t="s">
        <v>61</v>
      </c>
      <c r="G224" s="23">
        <f>132+28+29+110+13+7</f>
        <v>319</v>
      </c>
      <c r="H224" s="16">
        <f>(13*2.15+1*5+5*1.2+5*3)/K224</f>
        <v>1.4197368421052632</v>
      </c>
      <c r="I224" s="23">
        <v>5</v>
      </c>
      <c r="J224" s="23">
        <v>2</v>
      </c>
      <c r="K224" s="23">
        <f>13+15+5+5</f>
        <v>38</v>
      </c>
      <c r="L224" s="16">
        <f t="shared" si="38"/>
        <v>452.89605263157898</v>
      </c>
      <c r="M224" s="16">
        <f t="shared" si="40"/>
        <v>0.17662987769643979</v>
      </c>
    </row>
    <row r="225" spans="2:13">
      <c r="B225" s="3" t="s">
        <v>65</v>
      </c>
      <c r="C225" s="3" t="s">
        <v>19</v>
      </c>
      <c r="D225" s="3" t="s">
        <v>59</v>
      </c>
      <c r="E225" s="3" t="s">
        <v>60</v>
      </c>
      <c r="F225" s="23" t="s">
        <v>6</v>
      </c>
      <c r="G225" s="23">
        <v>0</v>
      </c>
      <c r="H225" s="16">
        <v>0</v>
      </c>
      <c r="I225" s="23">
        <v>0</v>
      </c>
      <c r="J225" s="23">
        <v>0</v>
      </c>
      <c r="K225" s="23">
        <v>0</v>
      </c>
      <c r="L225" s="16">
        <f t="shared" si="38"/>
        <v>0</v>
      </c>
      <c r="M225" s="16">
        <f t="shared" si="40"/>
        <v>0</v>
      </c>
    </row>
    <row r="226" spans="2:13">
      <c r="B226" s="3" t="s">
        <v>65</v>
      </c>
      <c r="C226" s="3" t="s">
        <v>19</v>
      </c>
      <c r="D226" s="3" t="s">
        <v>59</v>
      </c>
      <c r="E226" s="3" t="s">
        <v>62</v>
      </c>
      <c r="F226" s="23" t="s">
        <v>8</v>
      </c>
      <c r="G226" s="23">
        <f>42+77+19+14+10+42</f>
        <v>204</v>
      </c>
      <c r="H226" s="16">
        <f>(7*1+12*1+7*1)/K226</f>
        <v>1</v>
      </c>
      <c r="I226" s="23">
        <v>3</v>
      </c>
      <c r="J226" s="23">
        <v>3</v>
      </c>
      <c r="K226" s="23">
        <v>26</v>
      </c>
      <c r="L226" s="16">
        <f t="shared" si="38"/>
        <v>204</v>
      </c>
      <c r="M226" s="16">
        <f t="shared" si="40"/>
        <v>7.9560187907809748E-2</v>
      </c>
    </row>
    <row r="227" spans="2:13">
      <c r="B227" s="3" t="s">
        <v>65</v>
      </c>
      <c r="C227" s="3" t="s">
        <v>19</v>
      </c>
      <c r="D227" s="3" t="s">
        <v>59</v>
      </c>
      <c r="E227" s="3" t="s">
        <v>62</v>
      </c>
      <c r="F227" s="23" t="s">
        <v>9</v>
      </c>
      <c r="G227" s="23">
        <f>4+(5+8)</f>
        <v>17</v>
      </c>
      <c r="H227" s="16">
        <f>AVERAGE(2,3)</f>
        <v>2.5</v>
      </c>
      <c r="I227" s="24">
        <v>1</v>
      </c>
      <c r="J227" s="24">
        <v>1</v>
      </c>
      <c r="K227" s="24">
        <v>2</v>
      </c>
      <c r="L227" s="16">
        <f t="shared" si="38"/>
        <v>42.5</v>
      </c>
      <c r="M227" s="16">
        <f t="shared" si="40"/>
        <v>1.6575039147460363E-2</v>
      </c>
    </row>
    <row r="228" spans="2:13">
      <c r="B228" s="3" t="s">
        <v>65</v>
      </c>
      <c r="C228" s="3" t="s">
        <v>19</v>
      </c>
      <c r="D228" s="3" t="s">
        <v>59</v>
      </c>
      <c r="E228" s="3" t="s">
        <v>62</v>
      </c>
      <c r="F228" s="23" t="s">
        <v>66</v>
      </c>
      <c r="G228" s="23">
        <f>5+167+70+53+8+7</f>
        <v>310</v>
      </c>
      <c r="H228" s="16">
        <f>(11*2.5+2*2+2*2.3+2)/K228</f>
        <v>2.3812500000000001</v>
      </c>
      <c r="I228" s="23">
        <v>3</v>
      </c>
      <c r="J228" s="23">
        <v>2</v>
      </c>
      <c r="K228" s="23">
        <v>16</v>
      </c>
      <c r="L228" s="16">
        <f t="shared" si="38"/>
        <v>738.1875</v>
      </c>
      <c r="M228" s="16">
        <f t="shared" si="40"/>
        <v>0.28789380495684463</v>
      </c>
    </row>
    <row r="229" spans="2:13">
      <c r="B229" s="3" t="s">
        <v>65</v>
      </c>
      <c r="C229" s="3" t="s">
        <v>19</v>
      </c>
      <c r="D229" s="3" t="s">
        <v>59</v>
      </c>
      <c r="E229" s="3" t="s">
        <v>62</v>
      </c>
      <c r="F229" s="23" t="s">
        <v>10</v>
      </c>
      <c r="G229" s="23">
        <f>113+5+2</f>
        <v>120</v>
      </c>
      <c r="H229" s="39">
        <f>(6*3.16+1)/K229</f>
        <v>2.8514285714285714</v>
      </c>
      <c r="I229" s="24">
        <v>2</v>
      </c>
      <c r="J229" s="24">
        <v>1</v>
      </c>
      <c r="K229" s="24">
        <v>7</v>
      </c>
      <c r="L229" s="16">
        <f t="shared" si="38"/>
        <v>342.17142857142858</v>
      </c>
      <c r="M229" s="16">
        <f t="shared" si="40"/>
        <v>0.13344717232267922</v>
      </c>
    </row>
    <row r="230" spans="2:13">
      <c r="B230" s="3" t="s">
        <v>65</v>
      </c>
      <c r="C230" s="3" t="s">
        <v>19</v>
      </c>
      <c r="D230" s="3" t="s">
        <v>59</v>
      </c>
      <c r="E230" s="3" t="s">
        <v>62</v>
      </c>
      <c r="F230" s="23" t="s">
        <v>11</v>
      </c>
      <c r="G230" s="23">
        <f>5+17+(8+2+8)+(6+5)</f>
        <v>51</v>
      </c>
      <c r="H230" s="16">
        <f>(3*1+4+1+4+2+2)/K230</f>
        <v>2</v>
      </c>
      <c r="I230" s="24">
        <v>3</v>
      </c>
      <c r="J230" s="24">
        <v>1</v>
      </c>
      <c r="K230" s="24">
        <v>8</v>
      </c>
      <c r="L230" s="16">
        <f t="shared" si="38"/>
        <v>102</v>
      </c>
      <c r="M230" s="16">
        <f t="shared" si="40"/>
        <v>3.9780093953904874E-2</v>
      </c>
    </row>
    <row r="231" spans="2:13">
      <c r="B231" s="3" t="s">
        <v>65</v>
      </c>
      <c r="C231" s="3" t="s">
        <v>19</v>
      </c>
      <c r="D231" s="3" t="s">
        <v>59</v>
      </c>
      <c r="E231" s="3" t="s">
        <v>62</v>
      </c>
      <c r="F231" s="23" t="s">
        <v>12</v>
      </c>
      <c r="G231" s="23">
        <v>0</v>
      </c>
      <c r="H231" s="24">
        <v>0</v>
      </c>
      <c r="I231" s="24">
        <v>0</v>
      </c>
      <c r="J231" s="24">
        <v>0</v>
      </c>
      <c r="K231" s="24">
        <v>0</v>
      </c>
      <c r="L231" s="16">
        <f t="shared" si="38"/>
        <v>0</v>
      </c>
      <c r="M231" s="16">
        <f t="shared" si="40"/>
        <v>0</v>
      </c>
    </row>
    <row r="232" spans="2:13">
      <c r="B232" s="3" t="s">
        <v>65</v>
      </c>
      <c r="C232" s="3" t="s">
        <v>19</v>
      </c>
      <c r="D232" s="3" t="s">
        <v>59</v>
      </c>
      <c r="E232" s="3" t="s">
        <v>60</v>
      </c>
      <c r="F232" s="23" t="s">
        <v>7</v>
      </c>
      <c r="G232" s="23">
        <v>155</v>
      </c>
      <c r="H232" s="16">
        <v>1.95</v>
      </c>
      <c r="I232" s="23"/>
      <c r="J232" s="23"/>
      <c r="K232" s="23"/>
      <c r="L232" s="16">
        <f t="shared" si="38"/>
        <v>302.25</v>
      </c>
      <c r="M232" s="16">
        <f t="shared" si="40"/>
        <v>0.11787777840752695</v>
      </c>
    </row>
    <row r="233" spans="2:13">
      <c r="B233" s="3" t="s">
        <v>65</v>
      </c>
      <c r="C233" s="3" t="s">
        <v>22</v>
      </c>
      <c r="D233" s="3" t="s">
        <v>59</v>
      </c>
      <c r="E233" s="3" t="s">
        <v>60</v>
      </c>
      <c r="F233" s="23" t="s">
        <v>5</v>
      </c>
      <c r="G233" s="23">
        <f>87+29</f>
        <v>116</v>
      </c>
      <c r="H233" s="16">
        <f>(2*3.5+1*4)/K233</f>
        <v>3.6666666666666665</v>
      </c>
      <c r="I233" s="23">
        <v>2</v>
      </c>
      <c r="J233" s="23">
        <v>0</v>
      </c>
      <c r="K233" s="23">
        <v>3</v>
      </c>
      <c r="L233" s="16">
        <f t="shared" si="38"/>
        <v>425.33333333333331</v>
      </c>
      <c r="M233" s="16">
        <f>L233/$V$22</f>
        <v>0.13148864928196455</v>
      </c>
    </row>
    <row r="234" spans="2:13">
      <c r="B234" s="3" t="s">
        <v>65</v>
      </c>
      <c r="C234" s="3" t="s">
        <v>22</v>
      </c>
      <c r="D234" s="3" t="s">
        <v>59</v>
      </c>
      <c r="E234" s="3" t="s">
        <v>60</v>
      </c>
      <c r="F234" s="23" t="s">
        <v>21</v>
      </c>
      <c r="G234" s="23">
        <f>92+(4+6+5+5)+32</f>
        <v>144</v>
      </c>
      <c r="H234" s="39">
        <f>(2*6.5+4*1+2*3.5)/K234</f>
        <v>3</v>
      </c>
      <c r="I234" s="24">
        <v>3</v>
      </c>
      <c r="J234" s="24">
        <v>0</v>
      </c>
      <c r="K234" s="24">
        <v>8</v>
      </c>
      <c r="L234" s="16">
        <f t="shared" si="38"/>
        <v>432</v>
      </c>
      <c r="M234" s="16">
        <f t="shared" ref="M234:M243" si="41">L234/$V$22</f>
        <v>0.13354959989766935</v>
      </c>
    </row>
    <row r="235" spans="2:13">
      <c r="B235" s="3" t="s">
        <v>65</v>
      </c>
      <c r="C235" s="3" t="s">
        <v>22</v>
      </c>
      <c r="D235" s="3" t="s">
        <v>59</v>
      </c>
      <c r="E235" s="3" t="s">
        <v>60</v>
      </c>
      <c r="F235" s="23" t="s">
        <v>61</v>
      </c>
      <c r="G235" s="23">
        <f>132+28+29+110+13+7</f>
        <v>319</v>
      </c>
      <c r="H235" s="16">
        <f>(13*2.15+1*5+5*1.2+5*3)/K235</f>
        <v>1.4197368421052632</v>
      </c>
      <c r="I235" s="23">
        <v>5</v>
      </c>
      <c r="J235" s="23">
        <v>2</v>
      </c>
      <c r="K235" s="23">
        <f>13+15+5+5</f>
        <v>38</v>
      </c>
      <c r="L235" s="16">
        <f t="shared" si="38"/>
        <v>452.89605263157898</v>
      </c>
      <c r="M235" s="16">
        <f t="shared" si="41"/>
        <v>0.14000945977819715</v>
      </c>
    </row>
    <row r="236" spans="2:13">
      <c r="B236" s="3" t="s">
        <v>65</v>
      </c>
      <c r="C236" s="3" t="s">
        <v>22</v>
      </c>
      <c r="D236" s="3" t="s">
        <v>59</v>
      </c>
      <c r="E236" s="3" t="s">
        <v>62</v>
      </c>
      <c r="F236" s="23" t="s">
        <v>6</v>
      </c>
      <c r="G236" s="23">
        <v>0</v>
      </c>
      <c r="H236" s="16">
        <v>0</v>
      </c>
      <c r="I236" s="23">
        <v>0</v>
      </c>
      <c r="J236" s="23">
        <v>0</v>
      </c>
      <c r="K236" s="23">
        <v>0</v>
      </c>
      <c r="L236" s="16">
        <f t="shared" si="38"/>
        <v>0</v>
      </c>
      <c r="M236" s="16">
        <f t="shared" si="41"/>
        <v>0</v>
      </c>
    </row>
    <row r="237" spans="2:13">
      <c r="B237" s="3" t="s">
        <v>65</v>
      </c>
      <c r="C237" s="3" t="s">
        <v>22</v>
      </c>
      <c r="D237" s="3" t="s">
        <v>59</v>
      </c>
      <c r="E237" s="3" t="s">
        <v>62</v>
      </c>
      <c r="F237" s="23" t="s">
        <v>8</v>
      </c>
      <c r="G237" s="23">
        <f>42+77+19+14+10+42</f>
        <v>204</v>
      </c>
      <c r="H237" s="16">
        <f>(7*1+12*1+7*1)/K237</f>
        <v>1</v>
      </c>
      <c r="I237" s="23">
        <v>3</v>
      </c>
      <c r="J237" s="23">
        <v>3</v>
      </c>
      <c r="K237" s="23">
        <v>26</v>
      </c>
      <c r="L237" s="16">
        <f t="shared" si="38"/>
        <v>204</v>
      </c>
      <c r="M237" s="16">
        <f t="shared" si="41"/>
        <v>6.306508884056608E-2</v>
      </c>
    </row>
    <row r="238" spans="2:13">
      <c r="B238" s="3" t="s">
        <v>65</v>
      </c>
      <c r="C238" s="3" t="s">
        <v>22</v>
      </c>
      <c r="D238" s="3" t="s">
        <v>59</v>
      </c>
      <c r="E238" s="3" t="s">
        <v>62</v>
      </c>
      <c r="F238" s="23" t="s">
        <v>9</v>
      </c>
      <c r="G238" s="23">
        <v>5</v>
      </c>
      <c r="H238" s="16">
        <v>1</v>
      </c>
      <c r="I238" s="24">
        <v>1</v>
      </c>
      <c r="J238" s="24">
        <v>1</v>
      </c>
      <c r="K238" s="24">
        <v>1</v>
      </c>
      <c r="L238" s="16">
        <f t="shared" si="38"/>
        <v>5</v>
      </c>
      <c r="M238" s="16">
        <f t="shared" si="41"/>
        <v>1.5457129617785803E-3</v>
      </c>
    </row>
    <row r="239" spans="2:13">
      <c r="B239" s="3" t="s">
        <v>65</v>
      </c>
      <c r="C239" s="3" t="s">
        <v>22</v>
      </c>
      <c r="D239" s="3" t="s">
        <v>59</v>
      </c>
      <c r="E239" s="3" t="s">
        <v>62</v>
      </c>
      <c r="F239" s="23" t="s">
        <v>66</v>
      </c>
      <c r="G239" s="23">
        <f>5+167+70+53+8+8</f>
        <v>311</v>
      </c>
      <c r="H239" s="16">
        <f>(11*2.5+2*2+2*2.3+2)/K239</f>
        <v>2.3812500000000001</v>
      </c>
      <c r="I239" s="23">
        <v>3</v>
      </c>
      <c r="J239" s="23">
        <v>2</v>
      </c>
      <c r="K239" s="23">
        <v>16</v>
      </c>
      <c r="L239" s="16">
        <f t="shared" si="38"/>
        <v>740.56875000000002</v>
      </c>
      <c r="M239" s="16">
        <f t="shared" si="41"/>
        <v>0.22894134319263221</v>
      </c>
    </row>
    <row r="240" spans="2:13">
      <c r="B240" s="3" t="s">
        <v>65</v>
      </c>
      <c r="C240" s="3" t="s">
        <v>22</v>
      </c>
      <c r="D240" s="3" t="s">
        <v>59</v>
      </c>
      <c r="E240" s="3" t="s">
        <v>62</v>
      </c>
      <c r="F240" s="23" t="s">
        <v>10</v>
      </c>
      <c r="G240" s="23">
        <f>2+13+113+5</f>
        <v>133</v>
      </c>
      <c r="H240" s="39">
        <f>(1+3+6*3.16)/K240</f>
        <v>2.2960000000000003</v>
      </c>
      <c r="I240" s="24">
        <v>3</v>
      </c>
      <c r="J240" s="24">
        <v>1</v>
      </c>
      <c r="K240" s="24">
        <v>10</v>
      </c>
      <c r="L240" s="16">
        <f t="shared" si="38"/>
        <v>305.36800000000005</v>
      </c>
      <c r="M240" s="16">
        <f t="shared" si="41"/>
        <v>9.4402255142480324E-2</v>
      </c>
    </row>
    <row r="241" spans="2:13">
      <c r="B241" s="3" t="s">
        <v>65</v>
      </c>
      <c r="C241" s="3" t="s">
        <v>22</v>
      </c>
      <c r="D241" s="3" t="s">
        <v>59</v>
      </c>
      <c r="E241" s="3" t="s">
        <v>62</v>
      </c>
      <c r="F241" s="23" t="s">
        <v>11</v>
      </c>
      <c r="G241" s="23">
        <f>8+2+8+5+17</f>
        <v>40</v>
      </c>
      <c r="H241" s="16">
        <f>(4+1+4+3*1)/K241</f>
        <v>2</v>
      </c>
      <c r="I241" s="24">
        <v>2</v>
      </c>
      <c r="J241" s="24">
        <v>1</v>
      </c>
      <c r="K241" s="24">
        <v>6</v>
      </c>
      <c r="L241" s="16">
        <f t="shared" si="38"/>
        <v>80</v>
      </c>
      <c r="M241" s="16">
        <f t="shared" si="41"/>
        <v>2.4731407388457284E-2</v>
      </c>
    </row>
    <row r="242" spans="2:13">
      <c r="B242" s="3" t="s">
        <v>65</v>
      </c>
      <c r="C242" s="3" t="s">
        <v>22</v>
      </c>
      <c r="D242" s="3" t="s">
        <v>59</v>
      </c>
      <c r="E242" s="3" t="s">
        <v>62</v>
      </c>
      <c r="F242" s="23" t="s">
        <v>12</v>
      </c>
      <c r="G242" s="23">
        <v>0</v>
      </c>
      <c r="H242" s="24">
        <v>0</v>
      </c>
      <c r="I242" s="24">
        <v>0</v>
      </c>
      <c r="J242" s="24">
        <v>0</v>
      </c>
      <c r="K242" s="24">
        <v>0</v>
      </c>
      <c r="L242" s="16">
        <f t="shared" si="38"/>
        <v>0</v>
      </c>
      <c r="M242" s="16">
        <f t="shared" si="41"/>
        <v>0</v>
      </c>
    </row>
    <row r="243" spans="2:13">
      <c r="B243" s="3" t="s">
        <v>65</v>
      </c>
      <c r="C243" s="3" t="s">
        <v>22</v>
      </c>
      <c r="D243" s="3" t="s">
        <v>59</v>
      </c>
      <c r="E243" s="3" t="s">
        <v>60</v>
      </c>
      <c r="F243" s="23" t="s">
        <v>7</v>
      </c>
      <c r="G243" s="23">
        <v>288</v>
      </c>
      <c r="H243" s="16">
        <v>1.05</v>
      </c>
      <c r="I243" s="23"/>
      <c r="J243" s="23"/>
      <c r="K243" s="23"/>
      <c r="L243" s="16">
        <f t="shared" ref="L243:L276" si="42">G243*H243</f>
        <v>302.40000000000003</v>
      </c>
      <c r="M243" s="16">
        <f t="shared" si="41"/>
        <v>9.3484719928368543E-2</v>
      </c>
    </row>
    <row r="244" spans="2:13">
      <c r="B244" s="3" t="s">
        <v>65</v>
      </c>
      <c r="C244" s="3" t="s">
        <v>23</v>
      </c>
      <c r="D244" s="3" t="s">
        <v>59</v>
      </c>
      <c r="E244" s="3" t="s">
        <v>60</v>
      </c>
      <c r="F244" s="23" t="s">
        <v>5</v>
      </c>
      <c r="G244" s="23">
        <f>68+7</f>
        <v>75</v>
      </c>
      <c r="H244" s="16">
        <f>(6*1.16+3)/K244</f>
        <v>1.4228571428571428</v>
      </c>
      <c r="I244" s="23">
        <v>2</v>
      </c>
      <c r="J244" s="23">
        <v>0</v>
      </c>
      <c r="K244" s="23">
        <v>7</v>
      </c>
      <c r="L244" s="16">
        <f t="shared" si="42"/>
        <v>106.71428571428571</v>
      </c>
      <c r="M244" s="16">
        <f>L244/$AC$22</f>
        <v>3.8672156939508914E-2</v>
      </c>
    </row>
    <row r="245" spans="2:13">
      <c r="B245" s="3" t="s">
        <v>65</v>
      </c>
      <c r="C245" s="3" t="s">
        <v>23</v>
      </c>
      <c r="D245" s="3" t="s">
        <v>59</v>
      </c>
      <c r="E245" s="3" t="s">
        <v>60</v>
      </c>
      <c r="F245" s="23" t="s">
        <v>21</v>
      </c>
      <c r="G245" s="23">
        <f>32+(4+8+6+5)+25</f>
        <v>80</v>
      </c>
      <c r="H245" s="39">
        <f>(2*3.5+1+2+1+1+3*1.33)/K245</f>
        <v>1.7766666666666666</v>
      </c>
      <c r="I245" s="24">
        <v>3</v>
      </c>
      <c r="J245" s="24">
        <v>0</v>
      </c>
      <c r="K245" s="24">
        <v>9</v>
      </c>
      <c r="L245" s="16">
        <f t="shared" si="42"/>
        <v>142.13333333333333</v>
      </c>
      <c r="M245" s="16">
        <f t="shared" ref="M245:M254" si="43">L245/$AC$22</f>
        <v>5.1507654633220087E-2</v>
      </c>
    </row>
    <row r="246" spans="2:13">
      <c r="B246" s="3" t="s">
        <v>65</v>
      </c>
      <c r="C246" s="3" t="s">
        <v>23</v>
      </c>
      <c r="D246" s="3" t="s">
        <v>59</v>
      </c>
      <c r="E246" s="3" t="s">
        <v>60</v>
      </c>
      <c r="F246" s="23" t="s">
        <v>61</v>
      </c>
      <c r="G246" s="23">
        <f>132+28+29+110+13+7</f>
        <v>319</v>
      </c>
      <c r="H246" s="16">
        <f>(13*2.15+1*5+5*1.2+5*3)/K246</f>
        <v>1.4197368421052632</v>
      </c>
      <c r="I246" s="23">
        <v>5</v>
      </c>
      <c r="J246" s="23">
        <v>2</v>
      </c>
      <c r="K246" s="23">
        <f>13+15+5+5</f>
        <v>38</v>
      </c>
      <c r="L246" s="16">
        <f t="shared" si="42"/>
        <v>452.89605263157898</v>
      </c>
      <c r="M246" s="16">
        <f t="shared" si="43"/>
        <v>0.16412486020424041</v>
      </c>
    </row>
    <row r="247" spans="2:13">
      <c r="B247" s="3" t="s">
        <v>65</v>
      </c>
      <c r="C247" s="3" t="s">
        <v>23</v>
      </c>
      <c r="D247" s="3" t="s">
        <v>59</v>
      </c>
      <c r="E247" s="3" t="s">
        <v>60</v>
      </c>
      <c r="F247" s="23" t="s">
        <v>6</v>
      </c>
      <c r="G247" s="23">
        <v>0</v>
      </c>
      <c r="H247" s="16">
        <v>0</v>
      </c>
      <c r="I247" s="23">
        <v>0</v>
      </c>
      <c r="J247" s="23">
        <v>0</v>
      </c>
      <c r="K247" s="23">
        <v>0</v>
      </c>
      <c r="L247" s="16">
        <f t="shared" si="42"/>
        <v>0</v>
      </c>
      <c r="M247" s="16">
        <f t="shared" si="43"/>
        <v>0</v>
      </c>
    </row>
    <row r="248" spans="2:13">
      <c r="B248" s="3" t="s">
        <v>65</v>
      </c>
      <c r="C248" s="3" t="s">
        <v>23</v>
      </c>
      <c r="D248" s="3" t="s">
        <v>59</v>
      </c>
      <c r="E248" s="3" t="s">
        <v>62</v>
      </c>
      <c r="F248" s="23" t="s">
        <v>8</v>
      </c>
      <c r="G248" s="23">
        <f>42+77+19+14+10+42+(20+17)</f>
        <v>241</v>
      </c>
      <c r="H248" s="16">
        <f>(7*1+12*1+7*1)/K248</f>
        <v>0.8666666666666667</v>
      </c>
      <c r="I248" s="23">
        <v>5</v>
      </c>
      <c r="J248" s="23">
        <v>3</v>
      </c>
      <c r="K248" s="23">
        <f>26+4</f>
        <v>30</v>
      </c>
      <c r="L248" s="16">
        <f t="shared" si="42"/>
        <v>208.86666666666667</v>
      </c>
      <c r="M248" s="16">
        <f t="shared" si="43"/>
        <v>7.5691126625646601E-2</v>
      </c>
    </row>
    <row r="249" spans="2:13">
      <c r="B249" s="3" t="s">
        <v>65</v>
      </c>
      <c r="C249" s="3" t="s">
        <v>23</v>
      </c>
      <c r="D249" s="3" t="s">
        <v>59</v>
      </c>
      <c r="E249" s="3" t="s">
        <v>62</v>
      </c>
      <c r="F249" s="23" t="s">
        <v>9</v>
      </c>
      <c r="G249" s="23">
        <f>4+5+22+1</f>
        <v>32</v>
      </c>
      <c r="H249" s="16">
        <f>AVERAGE(9,2,1)</f>
        <v>4</v>
      </c>
      <c r="I249" s="24">
        <v>2</v>
      </c>
      <c r="J249" s="24">
        <v>1</v>
      </c>
      <c r="K249" s="24">
        <v>3</v>
      </c>
      <c r="L249" s="16">
        <f t="shared" si="42"/>
        <v>128</v>
      </c>
      <c r="M249" s="16">
        <f t="shared" si="43"/>
        <v>4.6385880345113775E-2</v>
      </c>
    </row>
    <row r="250" spans="2:13">
      <c r="B250" s="3" t="s">
        <v>65</v>
      </c>
      <c r="C250" s="3" t="s">
        <v>23</v>
      </c>
      <c r="D250" s="3" t="s">
        <v>59</v>
      </c>
      <c r="E250" s="3" t="s">
        <v>62</v>
      </c>
      <c r="F250" s="23" t="s">
        <v>66</v>
      </c>
      <c r="G250" s="23">
        <f>5+167+70+53+8+8</f>
        <v>311</v>
      </c>
      <c r="H250" s="16">
        <f>(11*2.5+2*2+2*2.3+2)/K250</f>
        <v>2.3812500000000001</v>
      </c>
      <c r="I250" s="23">
        <v>3</v>
      </c>
      <c r="J250" s="23">
        <v>2</v>
      </c>
      <c r="K250" s="23">
        <v>16</v>
      </c>
      <c r="L250" s="16">
        <f t="shared" si="42"/>
        <v>740.56875000000002</v>
      </c>
      <c r="M250" s="16">
        <f t="shared" si="43"/>
        <v>0.2683744798814881</v>
      </c>
    </row>
    <row r="251" spans="2:13">
      <c r="B251" s="3" t="s">
        <v>65</v>
      </c>
      <c r="C251" s="3" t="s">
        <v>23</v>
      </c>
      <c r="D251" s="3" t="s">
        <v>59</v>
      </c>
      <c r="E251" s="3" t="s">
        <v>62</v>
      </c>
      <c r="F251" s="23" t="s">
        <v>10</v>
      </c>
      <c r="G251" s="23">
        <f>133+2+6+5+5</f>
        <v>151</v>
      </c>
      <c r="H251" s="39">
        <f>(6*3.16+1+2+2)/K251</f>
        <v>2.6622222222222223</v>
      </c>
      <c r="I251" s="24">
        <v>3</v>
      </c>
      <c r="J251" s="24">
        <v>1</v>
      </c>
      <c r="K251" s="24">
        <v>9</v>
      </c>
      <c r="L251" s="16">
        <f t="shared" si="42"/>
        <v>401.99555555555554</v>
      </c>
      <c r="M251" s="16">
        <f t="shared" si="43"/>
        <v>0.14567904483802763</v>
      </c>
    </row>
    <row r="252" spans="2:13">
      <c r="B252" s="3" t="s">
        <v>65</v>
      </c>
      <c r="C252" s="3" t="s">
        <v>23</v>
      </c>
      <c r="D252" s="3" t="s">
        <v>59</v>
      </c>
      <c r="E252" s="3" t="s">
        <v>62</v>
      </c>
      <c r="F252" s="23" t="s">
        <v>11</v>
      </c>
      <c r="G252" s="23">
        <f>5+17+(4+1+4)+(18+21)</f>
        <v>70</v>
      </c>
      <c r="H252" s="16">
        <f>(3*1+4+1+4+6+8)/K252</f>
        <v>3.25</v>
      </c>
      <c r="I252" s="24">
        <v>3</v>
      </c>
      <c r="J252" s="24">
        <v>1</v>
      </c>
      <c r="K252" s="24">
        <v>8</v>
      </c>
      <c r="L252" s="16">
        <f t="shared" si="42"/>
        <v>227.5</v>
      </c>
      <c r="M252" s="16">
        <f t="shared" si="43"/>
        <v>8.2443654519635812E-2</v>
      </c>
    </row>
    <row r="253" spans="2:13">
      <c r="B253" s="3" t="s">
        <v>65</v>
      </c>
      <c r="C253" s="3" t="s">
        <v>23</v>
      </c>
      <c r="D253" s="3" t="s">
        <v>59</v>
      </c>
      <c r="E253" s="3" t="s">
        <v>62</v>
      </c>
      <c r="F253" s="23" t="s">
        <v>12</v>
      </c>
      <c r="G253" s="23">
        <v>0</v>
      </c>
      <c r="H253" s="24">
        <v>0</v>
      </c>
      <c r="I253" s="24">
        <v>0</v>
      </c>
      <c r="J253" s="24">
        <v>0</v>
      </c>
      <c r="K253" s="24">
        <v>0</v>
      </c>
      <c r="L253" s="16">
        <f t="shared" si="42"/>
        <v>0</v>
      </c>
      <c r="M253" s="16">
        <f t="shared" si="43"/>
        <v>0</v>
      </c>
    </row>
    <row r="254" spans="2:13">
      <c r="B254" s="3" t="s">
        <v>65</v>
      </c>
      <c r="C254" s="3" t="s">
        <v>23</v>
      </c>
      <c r="D254" s="3" t="s">
        <v>59</v>
      </c>
      <c r="E254" s="3" t="s">
        <v>62</v>
      </c>
      <c r="F254" s="23" t="s">
        <v>7</v>
      </c>
      <c r="G254" s="23">
        <v>179</v>
      </c>
      <c r="H254" s="16">
        <v>1.96</v>
      </c>
      <c r="I254" s="23"/>
      <c r="J254" s="23"/>
      <c r="K254" s="23"/>
      <c r="L254" s="16">
        <f t="shared" si="42"/>
        <v>350.84</v>
      </c>
      <c r="M254" s="16">
        <f t="shared" si="43"/>
        <v>0.12714079890843527</v>
      </c>
    </row>
    <row r="255" spans="2:13">
      <c r="B255" s="3" t="s">
        <v>65</v>
      </c>
      <c r="C255" s="3" t="s">
        <v>63</v>
      </c>
      <c r="D255" s="3" t="s">
        <v>64</v>
      </c>
      <c r="E255" s="3" t="s">
        <v>60</v>
      </c>
      <c r="F255" s="23" t="s">
        <v>5</v>
      </c>
      <c r="G255" s="23">
        <f>86+15</f>
        <v>101</v>
      </c>
      <c r="H255" s="16">
        <f>(5*2.4+4)/K255</f>
        <v>2.6666666666666665</v>
      </c>
      <c r="I255" s="23">
        <v>2</v>
      </c>
      <c r="J255" s="23">
        <v>0</v>
      </c>
      <c r="K255" s="23">
        <v>6</v>
      </c>
      <c r="L255" s="16">
        <f t="shared" si="42"/>
        <v>269.33333333333331</v>
      </c>
      <c r="M255" s="16">
        <f>L255/$AJ$22</f>
        <v>0.26035062102478856</v>
      </c>
    </row>
    <row r="256" spans="2:13">
      <c r="B256" s="3" t="s">
        <v>65</v>
      </c>
      <c r="C256" s="3" t="s">
        <v>63</v>
      </c>
      <c r="D256" s="3" t="s">
        <v>64</v>
      </c>
      <c r="E256" s="3" t="s">
        <v>60</v>
      </c>
      <c r="F256" s="23" t="s">
        <v>21</v>
      </c>
      <c r="G256" s="23">
        <f>(2+2+9)+(6+11)</f>
        <v>30</v>
      </c>
      <c r="H256" s="39">
        <f>(1+1+2+2+1)/K256</f>
        <v>1.4</v>
      </c>
      <c r="I256" s="24">
        <v>3</v>
      </c>
      <c r="J256" s="24">
        <v>0</v>
      </c>
      <c r="K256" s="24">
        <v>5</v>
      </c>
      <c r="L256" s="16">
        <f t="shared" si="42"/>
        <v>42</v>
      </c>
      <c r="M256" s="16">
        <f t="shared" ref="M256:M265" si="44">L256/$AJ$22</f>
        <v>4.0599230506340796E-2</v>
      </c>
    </row>
    <row r="257" spans="2:13">
      <c r="B257" s="3" t="s">
        <v>65</v>
      </c>
      <c r="C257" s="3" t="s">
        <v>63</v>
      </c>
      <c r="D257" s="3" t="s">
        <v>64</v>
      </c>
      <c r="E257" s="3" t="s">
        <v>60</v>
      </c>
      <c r="F257" s="23" t="s">
        <v>61</v>
      </c>
      <c r="G257" s="23">
        <v>0</v>
      </c>
      <c r="H257" s="16">
        <v>0</v>
      </c>
      <c r="I257" s="23">
        <v>0</v>
      </c>
      <c r="J257" s="23">
        <v>0</v>
      </c>
      <c r="K257" s="24">
        <v>0</v>
      </c>
      <c r="L257" s="16">
        <f t="shared" si="42"/>
        <v>0</v>
      </c>
      <c r="M257" s="16">
        <f t="shared" si="44"/>
        <v>0</v>
      </c>
    </row>
    <row r="258" spans="2:13">
      <c r="B258" s="3" t="s">
        <v>65</v>
      </c>
      <c r="C258" s="3" t="s">
        <v>63</v>
      </c>
      <c r="D258" s="3" t="s">
        <v>64</v>
      </c>
      <c r="E258" s="3" t="s">
        <v>60</v>
      </c>
      <c r="F258" s="23" t="s">
        <v>6</v>
      </c>
      <c r="G258" s="23">
        <v>0</v>
      </c>
      <c r="H258" s="16">
        <v>0</v>
      </c>
      <c r="I258" s="23">
        <v>0</v>
      </c>
      <c r="J258" s="23">
        <v>0</v>
      </c>
      <c r="K258" s="23">
        <v>0</v>
      </c>
      <c r="L258" s="16">
        <f t="shared" si="42"/>
        <v>0</v>
      </c>
      <c r="M258" s="16">
        <f t="shared" si="44"/>
        <v>0</v>
      </c>
    </row>
    <row r="259" spans="2:13">
      <c r="B259" s="3" t="s">
        <v>65</v>
      </c>
      <c r="C259" s="3" t="s">
        <v>63</v>
      </c>
      <c r="D259" s="3" t="s">
        <v>64</v>
      </c>
      <c r="E259" s="3" t="s">
        <v>62</v>
      </c>
      <c r="F259" s="23" t="s">
        <v>8</v>
      </c>
      <c r="G259" s="23">
        <f>42+77+19+14+10+42</f>
        <v>204</v>
      </c>
      <c r="H259" s="16">
        <f>(7*1+12*1+7*1)/K259</f>
        <v>1</v>
      </c>
      <c r="I259" s="23">
        <v>3</v>
      </c>
      <c r="J259" s="23">
        <v>3</v>
      </c>
      <c r="K259" s="23">
        <v>26</v>
      </c>
      <c r="L259" s="16">
        <f t="shared" si="42"/>
        <v>204</v>
      </c>
      <c r="M259" s="16">
        <f t="shared" si="44"/>
        <v>0.19719626245936958</v>
      </c>
    </row>
    <row r="260" spans="2:13">
      <c r="B260" s="3" t="s">
        <v>65</v>
      </c>
      <c r="C260" s="3" t="s">
        <v>63</v>
      </c>
      <c r="D260" s="3" t="s">
        <v>64</v>
      </c>
      <c r="E260" s="3" t="s">
        <v>62</v>
      </c>
      <c r="F260" s="23" t="s">
        <v>9</v>
      </c>
      <c r="G260" s="23">
        <f>4+6+10</f>
        <v>20</v>
      </c>
      <c r="H260" s="16">
        <f>AVERAGE(3,2)</f>
        <v>2.5</v>
      </c>
      <c r="I260" s="24">
        <v>1</v>
      </c>
      <c r="J260" s="24">
        <v>1</v>
      </c>
      <c r="K260" s="24">
        <v>2</v>
      </c>
      <c r="L260" s="16">
        <f t="shared" si="42"/>
        <v>50</v>
      </c>
      <c r="M260" s="16">
        <f t="shared" si="44"/>
        <v>4.833241726945333E-2</v>
      </c>
    </row>
    <row r="261" spans="2:13">
      <c r="B261" s="3" t="s">
        <v>65</v>
      </c>
      <c r="C261" s="3" t="s">
        <v>63</v>
      </c>
      <c r="D261" s="3" t="s">
        <v>64</v>
      </c>
      <c r="E261" s="3" t="s">
        <v>62</v>
      </c>
      <c r="F261" s="23" t="s">
        <v>66</v>
      </c>
      <c r="G261" s="23">
        <v>0</v>
      </c>
      <c r="H261" s="16">
        <v>0</v>
      </c>
      <c r="I261" s="24">
        <v>0</v>
      </c>
      <c r="J261" s="24">
        <v>0</v>
      </c>
      <c r="K261" s="24">
        <v>0</v>
      </c>
      <c r="L261" s="16">
        <f t="shared" si="42"/>
        <v>0</v>
      </c>
      <c r="M261" s="16">
        <f t="shared" si="44"/>
        <v>0</v>
      </c>
    </row>
    <row r="262" spans="2:13">
      <c r="B262" s="3" t="s">
        <v>65</v>
      </c>
      <c r="C262" s="3" t="s">
        <v>63</v>
      </c>
      <c r="D262" s="3" t="s">
        <v>64</v>
      </c>
      <c r="E262" s="3" t="s">
        <v>62</v>
      </c>
      <c r="F262" s="23" t="s">
        <v>10</v>
      </c>
      <c r="G262" s="23">
        <v>10</v>
      </c>
      <c r="H262" s="39">
        <v>3</v>
      </c>
      <c r="I262" s="24">
        <v>1</v>
      </c>
      <c r="J262" s="24">
        <v>0</v>
      </c>
      <c r="K262" s="24">
        <v>1</v>
      </c>
      <c r="L262" s="16">
        <f t="shared" si="42"/>
        <v>30</v>
      </c>
      <c r="M262" s="16">
        <f t="shared" si="44"/>
        <v>2.8999450361671997E-2</v>
      </c>
    </row>
    <row r="263" spans="2:13">
      <c r="B263" s="3" t="s">
        <v>65</v>
      </c>
      <c r="C263" s="3" t="s">
        <v>63</v>
      </c>
      <c r="D263" s="3" t="s">
        <v>64</v>
      </c>
      <c r="E263" s="3" t="s">
        <v>62</v>
      </c>
      <c r="F263" s="23" t="s">
        <v>11</v>
      </c>
      <c r="G263" s="23">
        <f>5+17+(8+2+8)+(6+5)</f>
        <v>51</v>
      </c>
      <c r="H263" s="16">
        <f>(3*1+4+1+4+2+2)/K263</f>
        <v>2</v>
      </c>
      <c r="I263" s="24">
        <v>3</v>
      </c>
      <c r="J263" s="24">
        <v>1</v>
      </c>
      <c r="K263" s="24">
        <v>8</v>
      </c>
      <c r="L263" s="16">
        <f t="shared" si="42"/>
        <v>102</v>
      </c>
      <c r="M263" s="16">
        <f t="shared" si="44"/>
        <v>9.8598131229684791E-2</v>
      </c>
    </row>
    <row r="264" spans="2:13">
      <c r="B264" s="3" t="s">
        <v>65</v>
      </c>
      <c r="C264" s="3" t="s">
        <v>63</v>
      </c>
      <c r="D264" s="3" t="s">
        <v>64</v>
      </c>
      <c r="E264" s="3" t="s">
        <v>62</v>
      </c>
      <c r="F264" s="23" t="s">
        <v>12</v>
      </c>
      <c r="G264" s="23">
        <v>0</v>
      </c>
      <c r="H264" s="24">
        <v>0</v>
      </c>
      <c r="I264" s="24">
        <v>0</v>
      </c>
      <c r="J264" s="24">
        <v>0</v>
      </c>
      <c r="K264" s="24">
        <v>0</v>
      </c>
      <c r="L264" s="16">
        <f t="shared" si="42"/>
        <v>0</v>
      </c>
      <c r="M264" s="16">
        <f t="shared" si="44"/>
        <v>0</v>
      </c>
    </row>
    <row r="265" spans="2:13">
      <c r="B265" s="3" t="s">
        <v>65</v>
      </c>
      <c r="C265" s="3" t="s">
        <v>63</v>
      </c>
      <c r="D265" s="3" t="s">
        <v>64</v>
      </c>
      <c r="E265" s="3" t="s">
        <v>60</v>
      </c>
      <c r="F265" s="23" t="s">
        <v>7</v>
      </c>
      <c r="G265" s="23">
        <v>216</v>
      </c>
      <c r="H265" s="16">
        <v>1.56</v>
      </c>
      <c r="I265" s="24"/>
      <c r="J265" s="24"/>
      <c r="K265" s="24"/>
      <c r="L265" s="16">
        <f t="shared" si="42"/>
        <v>336.96000000000004</v>
      </c>
      <c r="M265" s="16">
        <f t="shared" si="44"/>
        <v>0.32572182646229991</v>
      </c>
    </row>
    <row r="266" spans="2:13">
      <c r="B266" s="3" t="s">
        <v>65</v>
      </c>
      <c r="C266" s="3" t="s">
        <v>63</v>
      </c>
      <c r="D266" s="3" t="s">
        <v>59</v>
      </c>
      <c r="E266" s="3" t="s">
        <v>60</v>
      </c>
      <c r="F266" s="23" t="s">
        <v>5</v>
      </c>
      <c r="G266" s="23">
        <v>0</v>
      </c>
      <c r="H266" s="16">
        <v>0</v>
      </c>
      <c r="I266" s="23">
        <v>0</v>
      </c>
      <c r="J266" s="23">
        <v>0</v>
      </c>
      <c r="K266" s="24">
        <v>0</v>
      </c>
      <c r="L266" s="16">
        <f t="shared" si="42"/>
        <v>0</v>
      </c>
      <c r="M266" s="16">
        <f>L266/$AQ$22</f>
        <v>0</v>
      </c>
    </row>
    <row r="267" spans="2:13">
      <c r="B267" s="3" t="s">
        <v>65</v>
      </c>
      <c r="C267" s="3" t="s">
        <v>63</v>
      </c>
      <c r="D267" s="3" t="s">
        <v>59</v>
      </c>
      <c r="E267" s="3" t="s">
        <v>60</v>
      </c>
      <c r="F267" s="23" t="s">
        <v>21</v>
      </c>
      <c r="G267" s="23">
        <f>19+33</f>
        <v>52</v>
      </c>
      <c r="H267" s="24">
        <f>AVERAGE(3,6)</f>
        <v>4.5</v>
      </c>
      <c r="I267" s="24">
        <v>2</v>
      </c>
      <c r="J267" s="24">
        <v>0</v>
      </c>
      <c r="K267" s="24">
        <v>2</v>
      </c>
      <c r="L267" s="16">
        <f t="shared" si="42"/>
        <v>234</v>
      </c>
      <c r="M267" s="16">
        <f t="shared" ref="M267:M276" si="45">L267/$AQ$22</f>
        <v>0.10323186225627258</v>
      </c>
    </row>
    <row r="268" spans="2:13">
      <c r="B268" s="3" t="s">
        <v>65</v>
      </c>
      <c r="C268" s="3" t="s">
        <v>63</v>
      </c>
      <c r="D268" s="3" t="s">
        <v>59</v>
      </c>
      <c r="E268" s="3" t="s">
        <v>60</v>
      </c>
      <c r="F268" s="23" t="s">
        <v>61</v>
      </c>
      <c r="G268" s="23">
        <v>0</v>
      </c>
      <c r="H268" s="16">
        <v>0</v>
      </c>
      <c r="I268" s="23">
        <v>0</v>
      </c>
      <c r="J268" s="23">
        <v>0</v>
      </c>
      <c r="K268" s="24">
        <v>0</v>
      </c>
      <c r="L268" s="16">
        <f t="shared" si="42"/>
        <v>0</v>
      </c>
      <c r="M268" s="16">
        <f t="shared" si="45"/>
        <v>0</v>
      </c>
    </row>
    <row r="269" spans="2:13">
      <c r="B269" s="3" t="s">
        <v>65</v>
      </c>
      <c r="C269" s="3" t="s">
        <v>63</v>
      </c>
      <c r="D269" s="3" t="s">
        <v>59</v>
      </c>
      <c r="E269" s="3" t="s">
        <v>60</v>
      </c>
      <c r="F269" s="23" t="s">
        <v>6</v>
      </c>
      <c r="G269" s="23">
        <v>25</v>
      </c>
      <c r="H269" s="16">
        <v>1.5</v>
      </c>
      <c r="I269" s="24">
        <v>1</v>
      </c>
      <c r="J269" s="24">
        <v>0</v>
      </c>
      <c r="K269" s="24">
        <v>2</v>
      </c>
      <c r="L269" s="16">
        <f t="shared" si="42"/>
        <v>37.5</v>
      </c>
      <c r="M269" s="16">
        <f t="shared" si="45"/>
        <v>1.6543567669274454E-2</v>
      </c>
    </row>
    <row r="270" spans="2:13">
      <c r="B270" s="3" t="s">
        <v>65</v>
      </c>
      <c r="C270" s="3" t="s">
        <v>63</v>
      </c>
      <c r="D270" s="3" t="s">
        <v>59</v>
      </c>
      <c r="E270" s="3" t="s">
        <v>62</v>
      </c>
      <c r="F270" s="23" t="s">
        <v>8</v>
      </c>
      <c r="G270" s="23">
        <v>0</v>
      </c>
      <c r="H270" s="16">
        <v>0</v>
      </c>
      <c r="I270" s="24">
        <v>0</v>
      </c>
      <c r="J270" s="24">
        <v>0</v>
      </c>
      <c r="K270" s="24">
        <v>0</v>
      </c>
      <c r="L270" s="16">
        <f t="shared" si="42"/>
        <v>0</v>
      </c>
      <c r="M270" s="16">
        <f t="shared" si="45"/>
        <v>0</v>
      </c>
    </row>
    <row r="271" spans="2:13">
      <c r="B271" s="3" t="s">
        <v>65</v>
      </c>
      <c r="C271" s="3" t="s">
        <v>63</v>
      </c>
      <c r="D271" s="3" t="s">
        <v>59</v>
      </c>
      <c r="E271" s="3" t="s">
        <v>62</v>
      </c>
      <c r="F271" s="23" t="s">
        <v>9</v>
      </c>
      <c r="G271" s="23">
        <v>0</v>
      </c>
      <c r="H271" s="16">
        <v>0</v>
      </c>
      <c r="I271" s="24">
        <v>0</v>
      </c>
      <c r="J271" s="24">
        <v>0</v>
      </c>
      <c r="K271" s="24">
        <v>0</v>
      </c>
      <c r="L271" s="16">
        <f t="shared" si="42"/>
        <v>0</v>
      </c>
      <c r="M271" s="16">
        <f t="shared" si="45"/>
        <v>0</v>
      </c>
    </row>
    <row r="272" spans="2:13">
      <c r="B272" s="3" t="s">
        <v>65</v>
      </c>
      <c r="C272" s="3" t="s">
        <v>63</v>
      </c>
      <c r="D272" s="3" t="s">
        <v>59</v>
      </c>
      <c r="E272" s="3" t="s">
        <v>62</v>
      </c>
      <c r="F272" s="23" t="s">
        <v>66</v>
      </c>
      <c r="G272" s="23">
        <f>60+8+188</f>
        <v>256</v>
      </c>
      <c r="H272" s="16">
        <f>(3*2.33+8*2.5)/K272</f>
        <v>2.4536363636363636</v>
      </c>
      <c r="I272" s="24">
        <v>2</v>
      </c>
      <c r="J272" s="24">
        <v>1</v>
      </c>
      <c r="K272" s="24">
        <v>11</v>
      </c>
      <c r="L272" s="16">
        <f t="shared" si="42"/>
        <v>628.13090909090909</v>
      </c>
      <c r="M272" s="16">
        <f t="shared" si="45"/>
        <v>0.27710736532555558</v>
      </c>
    </row>
    <row r="273" spans="2:13">
      <c r="B273" s="3" t="s">
        <v>65</v>
      </c>
      <c r="C273" s="3" t="s">
        <v>63</v>
      </c>
      <c r="D273" s="3" t="s">
        <v>59</v>
      </c>
      <c r="E273" s="3" t="s">
        <v>62</v>
      </c>
      <c r="F273" s="23" t="s">
        <v>10</v>
      </c>
      <c r="G273" s="23">
        <f>129+83</f>
        <v>212</v>
      </c>
      <c r="H273" s="39">
        <f>(5*4+4*4.5)/K273</f>
        <v>4.2222222222222223</v>
      </c>
      <c r="I273" s="24">
        <v>2</v>
      </c>
      <c r="J273" s="24">
        <v>0</v>
      </c>
      <c r="K273" s="24">
        <v>9</v>
      </c>
      <c r="L273" s="16">
        <f t="shared" si="42"/>
        <v>895.11111111111109</v>
      </c>
      <c r="M273" s="16">
        <f t="shared" si="45"/>
        <v>0.39488883301829625</v>
      </c>
    </row>
    <row r="274" spans="2:13">
      <c r="B274" s="3" t="s">
        <v>65</v>
      </c>
      <c r="C274" s="3" t="s">
        <v>63</v>
      </c>
      <c r="D274" s="3" t="s">
        <v>59</v>
      </c>
      <c r="E274" s="3" t="s">
        <v>62</v>
      </c>
      <c r="F274" s="23" t="s">
        <v>11</v>
      </c>
      <c r="G274" s="23">
        <v>164</v>
      </c>
      <c r="H274" s="16">
        <v>2.6</v>
      </c>
      <c r="I274" s="24">
        <v>1</v>
      </c>
      <c r="J274" s="24">
        <v>0</v>
      </c>
      <c r="K274" s="24">
        <v>15</v>
      </c>
      <c r="L274" s="16">
        <f t="shared" si="42"/>
        <v>426.40000000000003</v>
      </c>
      <c r="M274" s="16">
        <f t="shared" si="45"/>
        <v>0.18811139344476338</v>
      </c>
    </row>
    <row r="275" spans="2:13">
      <c r="B275" s="3" t="s">
        <v>65</v>
      </c>
      <c r="C275" s="3" t="s">
        <v>63</v>
      </c>
      <c r="D275" s="3" t="s">
        <v>59</v>
      </c>
      <c r="E275" s="3" t="s">
        <v>62</v>
      </c>
      <c r="F275" s="23" t="s">
        <v>12</v>
      </c>
      <c r="G275" s="23">
        <v>166</v>
      </c>
      <c r="H275" s="24">
        <v>3</v>
      </c>
      <c r="I275" s="24">
        <v>2</v>
      </c>
      <c r="J275" s="24">
        <v>0</v>
      </c>
      <c r="K275" s="24">
        <v>13</v>
      </c>
      <c r="L275" s="16">
        <f t="shared" si="42"/>
        <v>498</v>
      </c>
      <c r="M275" s="16">
        <f t="shared" si="45"/>
        <v>0.21969857864796472</v>
      </c>
    </row>
    <row r="276" spans="2:13">
      <c r="B276" s="3" t="s">
        <v>65</v>
      </c>
      <c r="C276" s="3" t="s">
        <v>63</v>
      </c>
      <c r="D276" s="3" t="s">
        <v>59</v>
      </c>
      <c r="E276" s="3" t="s">
        <v>62</v>
      </c>
      <c r="F276" s="23" t="s">
        <v>7</v>
      </c>
      <c r="G276" s="23">
        <v>0</v>
      </c>
      <c r="H276" s="16">
        <v>0</v>
      </c>
      <c r="I276" s="24"/>
      <c r="J276" s="24"/>
      <c r="K276" s="24"/>
      <c r="L276" s="16">
        <f t="shared" si="42"/>
        <v>0</v>
      </c>
      <c r="M276" s="16">
        <f t="shared" si="45"/>
        <v>0</v>
      </c>
    </row>
  </sheetData>
  <mergeCells count="12">
    <mergeCell ref="C108:J108"/>
    <mergeCell ref="C137:J137"/>
    <mergeCell ref="C79:I79"/>
    <mergeCell ref="AS6:AY6"/>
    <mergeCell ref="AL6:AR6"/>
    <mergeCell ref="C6:I6"/>
    <mergeCell ref="J6:P6"/>
    <mergeCell ref="Q6:W6"/>
    <mergeCell ref="X6:AD6"/>
    <mergeCell ref="AE6:AK6"/>
    <mergeCell ref="H60:M60"/>
    <mergeCell ref="B60:G60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2009-07-03T23:30:23Z</dcterms:modified>
</cp:coreProperties>
</file>