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6" windowWidth="16212" windowHeight="8928"/>
  </bookViews>
  <sheets>
    <sheet name="IMPROMPTU Benchmark Treemap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59" i="1"/>
  <c r="L60"/>
  <c r="L61"/>
  <c r="L62"/>
  <c r="L63"/>
  <c r="L64"/>
  <c r="L65"/>
  <c r="L66"/>
  <c r="L67"/>
  <c r="L68"/>
  <c r="L58"/>
  <c r="L48"/>
  <c r="L49"/>
  <c r="L50"/>
  <c r="L51"/>
  <c r="L52"/>
  <c r="L53"/>
  <c r="L54"/>
  <c r="L55"/>
  <c r="L56"/>
  <c r="L57"/>
  <c r="L47"/>
  <c r="L37"/>
  <c r="L38"/>
  <c r="L39"/>
  <c r="L40"/>
  <c r="L41"/>
  <c r="L42"/>
  <c r="L43"/>
  <c r="L44"/>
  <c r="L45"/>
  <c r="L46"/>
  <c r="L36"/>
  <c r="L26"/>
  <c r="L27"/>
  <c r="L28"/>
  <c r="L29"/>
  <c r="L30"/>
  <c r="L31"/>
  <c r="L32"/>
  <c r="L33"/>
  <c r="L34"/>
  <c r="L35"/>
  <c r="L25"/>
  <c r="L15"/>
  <c r="L16"/>
  <c r="L17"/>
  <c r="L18"/>
  <c r="L19"/>
  <c r="L20"/>
  <c r="L21"/>
  <c r="L22"/>
  <c r="L23"/>
  <c r="L24"/>
  <c r="L14"/>
  <c r="L4"/>
  <c r="L5"/>
  <c r="L6"/>
  <c r="L7"/>
  <c r="L8"/>
  <c r="L9"/>
  <c r="L10"/>
  <c r="L11"/>
  <c r="L12"/>
  <c r="L13"/>
  <c r="L3"/>
  <c r="K68"/>
  <c r="K67"/>
  <c r="K66"/>
  <c r="G65"/>
  <c r="F65"/>
  <c r="K65" s="1"/>
  <c r="G64"/>
  <c r="F64"/>
  <c r="K64" s="1"/>
  <c r="K63"/>
  <c r="K62"/>
  <c r="K61"/>
  <c r="K60"/>
  <c r="G59"/>
  <c r="F59"/>
  <c r="K59" s="1"/>
  <c r="K58"/>
  <c r="K57"/>
  <c r="K56"/>
  <c r="G55"/>
  <c r="F55"/>
  <c r="K55" s="1"/>
  <c r="K54"/>
  <c r="K53"/>
  <c r="G52"/>
  <c r="F52"/>
  <c r="K52" s="1"/>
  <c r="G51"/>
  <c r="F51"/>
  <c r="K51" s="1"/>
  <c r="K50"/>
  <c r="K49"/>
  <c r="G48"/>
  <c r="F48"/>
  <c r="K48" s="1"/>
  <c r="G47"/>
  <c r="F47"/>
  <c r="K47" s="1"/>
  <c r="K46"/>
  <c r="K45"/>
  <c r="G44"/>
  <c r="F44"/>
  <c r="K44" s="1"/>
  <c r="G43"/>
  <c r="F43"/>
  <c r="K43" s="1"/>
  <c r="G42"/>
  <c r="F42"/>
  <c r="K42" s="1"/>
  <c r="G41"/>
  <c r="F41"/>
  <c r="K41" s="1"/>
  <c r="J40"/>
  <c r="G40" s="1"/>
  <c r="F40"/>
  <c r="K40" s="1"/>
  <c r="K39"/>
  <c r="J38"/>
  <c r="G38"/>
  <c r="K38" s="1"/>
  <c r="F38"/>
  <c r="G37"/>
  <c r="F37"/>
  <c r="K37" s="1"/>
  <c r="G36"/>
  <c r="F36"/>
  <c r="K36" s="1"/>
  <c r="K35"/>
  <c r="K34"/>
  <c r="G33"/>
  <c r="F33"/>
  <c r="K33" s="1"/>
  <c r="G32"/>
  <c r="F32"/>
  <c r="K32" s="1"/>
  <c r="G31"/>
  <c r="F31"/>
  <c r="K31" s="1"/>
  <c r="K30"/>
  <c r="G29"/>
  <c r="F29"/>
  <c r="K29" s="1"/>
  <c r="K28"/>
  <c r="J27"/>
  <c r="G27" s="1"/>
  <c r="F27"/>
  <c r="K27" s="1"/>
  <c r="G26"/>
  <c r="F26"/>
  <c r="K26" s="1"/>
  <c r="G25"/>
  <c r="F25"/>
  <c r="K25" s="1"/>
  <c r="K24"/>
  <c r="K23"/>
  <c r="G22"/>
  <c r="F22"/>
  <c r="K22" s="1"/>
  <c r="G21"/>
  <c r="F21"/>
  <c r="K21" s="1"/>
  <c r="G20"/>
  <c r="F20"/>
  <c r="K20" s="1"/>
  <c r="G19"/>
  <c r="F19"/>
  <c r="K19" s="1"/>
  <c r="G18"/>
  <c r="F18"/>
  <c r="K18" s="1"/>
  <c r="K17"/>
  <c r="J16"/>
  <c r="G16" s="1"/>
  <c r="F16"/>
  <c r="K16" s="1"/>
  <c r="J15"/>
  <c r="G15"/>
  <c r="K15" s="1"/>
  <c r="F15"/>
  <c r="G14"/>
  <c r="F14"/>
  <c r="K14" s="1"/>
  <c r="K13"/>
  <c r="G12"/>
  <c r="F12"/>
  <c r="K12" s="1"/>
  <c r="G11"/>
  <c r="F11"/>
  <c r="K11" s="1"/>
  <c r="G10"/>
  <c r="F10"/>
  <c r="K10" s="1"/>
  <c r="G9"/>
  <c r="F9"/>
  <c r="K9" s="1"/>
  <c r="K8"/>
  <c r="G7"/>
  <c r="F7"/>
  <c r="K7" s="1"/>
  <c r="K6"/>
  <c r="J5"/>
  <c r="G5" s="1"/>
  <c r="F5"/>
  <c r="G4"/>
  <c r="F4"/>
  <c r="K4" s="1"/>
  <c r="K3"/>
  <c r="K5" l="1"/>
</calcChain>
</file>

<file path=xl/sharedStrings.xml><?xml version="1.0" encoding="utf-8"?>
<sst xmlns="http://schemas.openxmlformats.org/spreadsheetml/2006/main" count="354" uniqueCount="36">
  <si>
    <t>Benchmark</t>
  </si>
  <si>
    <t>Infrastructure</t>
  </si>
  <si>
    <t>Side</t>
  </si>
  <si>
    <t>CONCERN</t>
  </si>
  <si>
    <t>LOC</t>
  </si>
  <si>
    <t>CC</t>
  </si>
  <si>
    <t>#Classes</t>
  </si>
  <si>
    <t>#Interf</t>
  </si>
  <si>
    <t>#Methods</t>
  </si>
  <si>
    <t>LOC*CC</t>
  </si>
  <si>
    <t>Ratio</t>
  </si>
  <si>
    <t>STRING</t>
  </si>
  <si>
    <t>INTEGER</t>
  </si>
  <si>
    <t>FLOAT</t>
  </si>
  <si>
    <t>BFS</t>
  </si>
  <si>
    <t>Server</t>
  </si>
  <si>
    <t>Adaptation</t>
  </si>
  <si>
    <t>Conf &amp; Connect</t>
  </si>
  <si>
    <t>Thread &amp; Distrib</t>
  </si>
  <si>
    <t>Factory</t>
  </si>
  <si>
    <t>Event</t>
  </si>
  <si>
    <t>Notification</t>
  </si>
  <si>
    <t>Publication</t>
  </si>
  <si>
    <t>Subscription</t>
  </si>
  <si>
    <t>Routing</t>
  </si>
  <si>
    <t>Glue</t>
  </si>
  <si>
    <t>Siena</t>
  </si>
  <si>
    <t>CORBA-NS</t>
  </si>
  <si>
    <t>JavaSpaces</t>
  </si>
  <si>
    <t>YANCEES</t>
  </si>
  <si>
    <t>Client</t>
  </si>
  <si>
    <t>Type</t>
  </si>
  <si>
    <t>Accidental</t>
  </si>
  <si>
    <t>Essential</t>
  </si>
  <si>
    <t>IMPROMPTU</t>
  </si>
  <si>
    <t>Protocol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</si>
</sst>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/>
    <xf numFmtId="2" fontId="0" fillId="0" borderId="0" xfId="0" applyNumberFormat="1" applyFont="1" applyBorder="1"/>
    <xf numFmtId="0" fontId="0" fillId="0" borderId="0" xfId="0" applyFont="1" applyFill="1" applyBorder="1"/>
    <xf numFmtId="2" fontId="0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workbookViewId="0">
      <selection activeCell="M65" sqref="M65"/>
    </sheetView>
  </sheetViews>
  <sheetFormatPr defaultRowHeight="14.4"/>
  <sheetData>
    <row r="1" spans="1:12">
      <c r="A1" s="3" t="s">
        <v>0</v>
      </c>
      <c r="B1" s="3" t="s">
        <v>1</v>
      </c>
      <c r="C1" s="3" t="s">
        <v>2</v>
      </c>
      <c r="D1" s="3" t="s">
        <v>31</v>
      </c>
      <c r="E1" s="1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>
      <c r="A2" s="3" t="s">
        <v>11</v>
      </c>
      <c r="B2" s="3" t="s">
        <v>11</v>
      </c>
      <c r="C2" s="3" t="s">
        <v>11</v>
      </c>
      <c r="D2" s="3" t="s">
        <v>11</v>
      </c>
      <c r="E2" s="3" t="s">
        <v>11</v>
      </c>
      <c r="F2" s="3" t="s">
        <v>12</v>
      </c>
      <c r="G2" s="3" t="s">
        <v>13</v>
      </c>
      <c r="H2" s="3" t="s">
        <v>12</v>
      </c>
      <c r="I2" s="3" t="s">
        <v>12</v>
      </c>
      <c r="J2" s="3" t="s">
        <v>12</v>
      </c>
      <c r="K2" s="3" t="s">
        <v>13</v>
      </c>
      <c r="L2" s="3" t="s">
        <v>13</v>
      </c>
    </row>
    <row r="3" spans="1:12">
      <c r="A3" s="3" t="s">
        <v>34</v>
      </c>
      <c r="B3" s="3" t="s">
        <v>14</v>
      </c>
      <c r="C3" s="3" t="s">
        <v>15</v>
      </c>
      <c r="D3" s="3" t="s">
        <v>32</v>
      </c>
      <c r="E3" s="3" t="s">
        <v>16</v>
      </c>
      <c r="F3" s="1">
        <v>0</v>
      </c>
      <c r="G3" s="4">
        <v>0</v>
      </c>
      <c r="H3" s="1">
        <v>0</v>
      </c>
      <c r="I3" s="5">
        <v>0</v>
      </c>
      <c r="J3" s="5">
        <v>0</v>
      </c>
      <c r="K3" s="4">
        <f>F3*G3</f>
        <v>0</v>
      </c>
      <c r="L3" s="4">
        <f>K3/SUM(K$3:K$13)</f>
        <v>0</v>
      </c>
    </row>
    <row r="4" spans="1:12">
      <c r="A4" s="3" t="s">
        <v>34</v>
      </c>
      <c r="B4" s="3" t="s">
        <v>14</v>
      </c>
      <c r="C4" s="3" t="s">
        <v>15</v>
      </c>
      <c r="D4" s="3" t="s">
        <v>32</v>
      </c>
      <c r="E4" s="3" t="s">
        <v>17</v>
      </c>
      <c r="F4" s="1">
        <f>32+(4+5+4+4)</f>
        <v>49</v>
      </c>
      <c r="G4" s="4">
        <f>(3.5*2+1*4)/J4</f>
        <v>1.8333333333333333</v>
      </c>
      <c r="H4" s="1">
        <v>1</v>
      </c>
      <c r="I4" s="5">
        <v>0</v>
      </c>
      <c r="J4" s="5">
        <v>6</v>
      </c>
      <c r="K4" s="4">
        <f t="shared" ref="K4:K10" si="0">F4*G4</f>
        <v>89.833333333333329</v>
      </c>
      <c r="L4" s="4">
        <f t="shared" ref="L4:L14" si="1">K4/SUM(K$3:K$13)</f>
        <v>3.9214474027518154E-2</v>
      </c>
    </row>
    <row r="5" spans="1:12">
      <c r="A5" s="3" t="s">
        <v>34</v>
      </c>
      <c r="B5" s="3" t="s">
        <v>14</v>
      </c>
      <c r="C5" s="3" t="s">
        <v>15</v>
      </c>
      <c r="D5" s="3" t="s">
        <v>32</v>
      </c>
      <c r="E5" s="3" t="s">
        <v>18</v>
      </c>
      <c r="F5" s="1">
        <f>132+28+29+110+13+7</f>
        <v>319</v>
      </c>
      <c r="G5" s="4">
        <f>(13*2.15+1*5+5*1.2+5*3)/J5</f>
        <v>1.4197368421052632</v>
      </c>
      <c r="H5" s="1">
        <v>5</v>
      </c>
      <c r="I5" s="1">
        <v>2</v>
      </c>
      <c r="J5" s="1">
        <f>13+15+5+5</f>
        <v>38</v>
      </c>
      <c r="K5" s="4">
        <f t="shared" si="0"/>
        <v>452.89605263157898</v>
      </c>
      <c r="L5" s="4">
        <f t="shared" si="1"/>
        <v>0.19770033944066662</v>
      </c>
    </row>
    <row r="6" spans="1:12">
      <c r="A6" s="3" t="s">
        <v>34</v>
      </c>
      <c r="B6" s="3" t="s">
        <v>14</v>
      </c>
      <c r="C6" s="3" t="s">
        <v>15</v>
      </c>
      <c r="D6" s="3" t="s">
        <v>32</v>
      </c>
      <c r="E6" s="3" t="s">
        <v>19</v>
      </c>
      <c r="F6" s="1">
        <v>0</v>
      </c>
      <c r="G6" s="4">
        <v>0</v>
      </c>
      <c r="H6" s="1">
        <v>0</v>
      </c>
      <c r="I6" s="1">
        <v>0</v>
      </c>
      <c r="J6" s="1">
        <v>0</v>
      </c>
      <c r="K6" s="4">
        <f t="shared" si="0"/>
        <v>0</v>
      </c>
      <c r="L6" s="4">
        <f t="shared" si="1"/>
        <v>0</v>
      </c>
    </row>
    <row r="7" spans="1:12">
      <c r="A7" s="3" t="s">
        <v>34</v>
      </c>
      <c r="B7" s="3" t="s">
        <v>14</v>
      </c>
      <c r="C7" s="3" t="s">
        <v>15</v>
      </c>
      <c r="D7" s="3" t="s">
        <v>33</v>
      </c>
      <c r="E7" s="3" t="s">
        <v>20</v>
      </c>
      <c r="F7" s="1">
        <f>42+77+19+14+10+42</f>
        <v>204</v>
      </c>
      <c r="G7" s="4">
        <f>(7*1+12*1+7*1)/J7</f>
        <v>1</v>
      </c>
      <c r="H7" s="1">
        <v>3</v>
      </c>
      <c r="I7" s="1">
        <v>3</v>
      </c>
      <c r="J7" s="1">
        <v>26</v>
      </c>
      <c r="K7" s="4">
        <f t="shared" si="0"/>
        <v>204</v>
      </c>
      <c r="L7" s="4">
        <f t="shared" si="1"/>
        <v>8.9051050481785202E-2</v>
      </c>
    </row>
    <row r="8" spans="1:12">
      <c r="A8" s="3" t="s">
        <v>34</v>
      </c>
      <c r="B8" s="3" t="s">
        <v>14</v>
      </c>
      <c r="C8" s="3" t="s">
        <v>15</v>
      </c>
      <c r="D8" s="3" t="s">
        <v>33</v>
      </c>
      <c r="E8" s="3" t="s">
        <v>21</v>
      </c>
      <c r="F8" s="1">
        <v>1</v>
      </c>
      <c r="G8" s="4">
        <v>1</v>
      </c>
      <c r="H8" s="5">
        <v>0</v>
      </c>
      <c r="I8" s="5">
        <v>1</v>
      </c>
      <c r="J8" s="5">
        <v>0</v>
      </c>
      <c r="K8" s="4">
        <f t="shared" si="0"/>
        <v>1</v>
      </c>
      <c r="L8" s="4">
        <f t="shared" si="1"/>
        <v>4.3652475726365297E-4</v>
      </c>
    </row>
    <row r="9" spans="1:12">
      <c r="A9" s="3" t="s">
        <v>34</v>
      </c>
      <c r="B9" s="3" t="s">
        <v>14</v>
      </c>
      <c r="C9" s="3" t="s">
        <v>15</v>
      </c>
      <c r="D9" s="3" t="s">
        <v>33</v>
      </c>
      <c r="E9" s="3" t="s">
        <v>35</v>
      </c>
      <c r="F9" s="1">
        <f>5+167+70+53+8</f>
        <v>303</v>
      </c>
      <c r="G9" s="4">
        <f>(11*2.5+2*2+2*2.3)/J9</f>
        <v>2.4066666666666667</v>
      </c>
      <c r="H9" s="1">
        <v>3</v>
      </c>
      <c r="I9" s="1">
        <v>2</v>
      </c>
      <c r="J9" s="1">
        <v>15</v>
      </c>
      <c r="K9" s="4">
        <f t="shared" si="0"/>
        <v>729.22</v>
      </c>
      <c r="L9" s="4">
        <f t="shared" si="1"/>
        <v>0.31832258349180104</v>
      </c>
    </row>
    <row r="10" spans="1:12">
      <c r="A10" s="3" t="s">
        <v>34</v>
      </c>
      <c r="B10" s="3" t="s">
        <v>14</v>
      </c>
      <c r="C10" s="3" t="s">
        <v>15</v>
      </c>
      <c r="D10" s="3" t="s">
        <v>33</v>
      </c>
      <c r="E10" s="3" t="s">
        <v>22</v>
      </c>
      <c r="F10" s="1">
        <f>113+5+(2)</f>
        <v>120</v>
      </c>
      <c r="G10" s="4">
        <f>(6*3.16+1)/J10</f>
        <v>2.8514285714285714</v>
      </c>
      <c r="H10" s="5">
        <v>2</v>
      </c>
      <c r="I10" s="5">
        <v>1</v>
      </c>
      <c r="J10" s="5">
        <v>7</v>
      </c>
      <c r="K10" s="4">
        <f t="shared" si="0"/>
        <v>342.17142857142858</v>
      </c>
      <c r="L10" s="4">
        <f t="shared" si="1"/>
        <v>0.14936629979970023</v>
      </c>
    </row>
    <row r="11" spans="1:12">
      <c r="A11" s="3" t="s">
        <v>34</v>
      </c>
      <c r="B11" s="3" t="s">
        <v>14</v>
      </c>
      <c r="C11" s="3" t="s">
        <v>15</v>
      </c>
      <c r="D11" s="3" t="s">
        <v>33</v>
      </c>
      <c r="E11" s="3" t="s">
        <v>23</v>
      </c>
      <c r="F11" s="1">
        <f>5+17+(8+2+8)+(1+1+1)+(1+1+0+0)</f>
        <v>45</v>
      </c>
      <c r="G11" s="4">
        <f>(3*1+4+1+4+(1+1+1)+(1+1))/J11</f>
        <v>1.7</v>
      </c>
      <c r="H11" s="5">
        <v>4</v>
      </c>
      <c r="I11" s="5">
        <v>1</v>
      </c>
      <c r="J11" s="5">
        <v>10</v>
      </c>
      <c r="K11" s="4">
        <f>F11*G11</f>
        <v>76.5</v>
      </c>
      <c r="L11" s="4">
        <f t="shared" si="1"/>
        <v>3.3394143930669452E-2</v>
      </c>
    </row>
    <row r="12" spans="1:12">
      <c r="A12" s="3" t="s">
        <v>34</v>
      </c>
      <c r="B12" s="3" t="s">
        <v>14</v>
      </c>
      <c r="C12" s="3" t="s">
        <v>15</v>
      </c>
      <c r="D12" s="3" t="s">
        <v>33</v>
      </c>
      <c r="E12" s="3" t="s">
        <v>24</v>
      </c>
      <c r="F12" s="1">
        <f>2+(9+6)+(9+6)</f>
        <v>32</v>
      </c>
      <c r="G12" s="4">
        <f>AVERAGE(1,4,3,4,3)</f>
        <v>3</v>
      </c>
      <c r="H12" s="5">
        <v>3</v>
      </c>
      <c r="I12" s="5">
        <v>0</v>
      </c>
      <c r="J12" s="5">
        <v>5</v>
      </c>
      <c r="K12" s="4">
        <f>F12*G12</f>
        <v>96</v>
      </c>
      <c r="L12" s="4">
        <f t="shared" si="1"/>
        <v>4.1906376697310684E-2</v>
      </c>
    </row>
    <row r="13" spans="1:12">
      <c r="A13" s="3" t="s">
        <v>34</v>
      </c>
      <c r="B13" s="3" t="s">
        <v>14</v>
      </c>
      <c r="C13" s="3" t="s">
        <v>15</v>
      </c>
      <c r="D13" s="3" t="s">
        <v>32</v>
      </c>
      <c r="E13" s="3" t="s">
        <v>25</v>
      </c>
      <c r="F13" s="1">
        <v>160</v>
      </c>
      <c r="G13" s="4">
        <v>1.87</v>
      </c>
      <c r="H13" s="1"/>
      <c r="I13" s="1"/>
      <c r="J13" s="1"/>
      <c r="K13" s="4">
        <f>F13*G13</f>
        <v>299.20000000000005</v>
      </c>
      <c r="L13" s="4">
        <f t="shared" si="1"/>
        <v>0.13060820737328499</v>
      </c>
    </row>
    <row r="14" spans="1:12">
      <c r="A14" s="3" t="s">
        <v>34</v>
      </c>
      <c r="B14" s="3" t="s">
        <v>26</v>
      </c>
      <c r="C14" s="3" t="s">
        <v>15</v>
      </c>
      <c r="D14" s="3" t="s">
        <v>32</v>
      </c>
      <c r="E14" s="1" t="s">
        <v>16</v>
      </c>
      <c r="F14" s="1">
        <f>70+17</f>
        <v>87</v>
      </c>
      <c r="G14" s="1">
        <f>(5*1.8+1*3)/J14</f>
        <v>2</v>
      </c>
      <c r="H14" s="1">
        <v>2</v>
      </c>
      <c r="I14" s="1">
        <v>0</v>
      </c>
      <c r="J14" s="1">
        <v>6</v>
      </c>
      <c r="K14" s="4">
        <f t="shared" ref="K14:K23" si="2">F14*G14</f>
        <v>174</v>
      </c>
      <c r="L14" s="4">
        <f>K14/SUM(K$14:K$24)</f>
        <v>6.7857770752795532E-2</v>
      </c>
    </row>
    <row r="15" spans="1:12">
      <c r="A15" s="3" t="s">
        <v>34</v>
      </c>
      <c r="B15" s="3" t="s">
        <v>26</v>
      </c>
      <c r="C15" s="3" t="s">
        <v>15</v>
      </c>
      <c r="D15" s="3" t="s">
        <v>32</v>
      </c>
      <c r="E15" s="1" t="s">
        <v>17</v>
      </c>
      <c r="F15" s="1">
        <f>32+(5+6+5+5+4)+51</f>
        <v>108</v>
      </c>
      <c r="G15" s="6">
        <f>(2*3.5+2+1+1+1+1+4*2)/J15</f>
        <v>1.9090909090909092</v>
      </c>
      <c r="H15" s="5">
        <v>2</v>
      </c>
      <c r="I15" s="5">
        <v>0</v>
      </c>
      <c r="J15" s="5">
        <f>7+4</f>
        <v>11</v>
      </c>
      <c r="K15" s="4">
        <f t="shared" si="2"/>
        <v>206.18181818181819</v>
      </c>
      <c r="L15" s="4">
        <f t="shared" ref="L15:L25" si="3">K15/SUM(K$14:K$24)</f>
        <v>8.0408267537795342E-2</v>
      </c>
    </row>
    <row r="16" spans="1:12">
      <c r="A16" s="3" t="s">
        <v>34</v>
      </c>
      <c r="B16" s="3" t="s">
        <v>26</v>
      </c>
      <c r="C16" s="3" t="s">
        <v>15</v>
      </c>
      <c r="D16" s="3" t="s">
        <v>32</v>
      </c>
      <c r="E16" s="1" t="s">
        <v>18</v>
      </c>
      <c r="F16" s="1">
        <f>132+28+29+110+13+7</f>
        <v>319</v>
      </c>
      <c r="G16" s="4">
        <f>(13*2.15+1*5+5*1.2+5*3)/J16</f>
        <v>1.4197368421052632</v>
      </c>
      <c r="H16" s="1">
        <v>5</v>
      </c>
      <c r="I16" s="1">
        <v>2</v>
      </c>
      <c r="J16" s="1">
        <f>13+15+5+5</f>
        <v>38</v>
      </c>
      <c r="K16" s="4">
        <f t="shared" si="2"/>
        <v>452.89605263157898</v>
      </c>
      <c r="L16" s="4">
        <f t="shared" si="3"/>
        <v>0.17662365812827419</v>
      </c>
    </row>
    <row r="17" spans="1:12">
      <c r="A17" s="3" t="s">
        <v>34</v>
      </c>
      <c r="B17" s="3" t="s">
        <v>26</v>
      </c>
      <c r="C17" s="3" t="s">
        <v>15</v>
      </c>
      <c r="D17" s="3" t="s">
        <v>32</v>
      </c>
      <c r="E17" s="1" t="s">
        <v>19</v>
      </c>
      <c r="F17" s="1">
        <v>0</v>
      </c>
      <c r="G17" s="4">
        <v>0</v>
      </c>
      <c r="H17" s="1">
        <v>0</v>
      </c>
      <c r="I17" s="1">
        <v>0</v>
      </c>
      <c r="J17" s="1">
        <v>0</v>
      </c>
      <c r="K17" s="4">
        <f t="shared" si="2"/>
        <v>0</v>
      </c>
      <c r="L17" s="4">
        <f t="shared" si="3"/>
        <v>0</v>
      </c>
    </row>
    <row r="18" spans="1:12">
      <c r="A18" s="3" t="s">
        <v>34</v>
      </c>
      <c r="B18" s="3" t="s">
        <v>26</v>
      </c>
      <c r="C18" s="3" t="s">
        <v>15</v>
      </c>
      <c r="D18" s="3" t="s">
        <v>33</v>
      </c>
      <c r="E18" s="1" t="s">
        <v>20</v>
      </c>
      <c r="F18" s="1">
        <f>42+77+19+14+10+42</f>
        <v>204</v>
      </c>
      <c r="G18" s="4">
        <f>(7*1+12*1+7*1)/J18</f>
        <v>1</v>
      </c>
      <c r="H18" s="1">
        <v>3</v>
      </c>
      <c r="I18" s="1">
        <v>3</v>
      </c>
      <c r="J18" s="1">
        <v>26</v>
      </c>
      <c r="K18" s="4">
        <f t="shared" si="2"/>
        <v>204</v>
      </c>
      <c r="L18" s="4">
        <f t="shared" si="3"/>
        <v>7.9557386399829247E-2</v>
      </c>
    </row>
    <row r="19" spans="1:12">
      <c r="A19" s="3" t="s">
        <v>34</v>
      </c>
      <c r="B19" s="3" t="s">
        <v>26</v>
      </c>
      <c r="C19" s="3" t="s">
        <v>15</v>
      </c>
      <c r="D19" s="3" t="s">
        <v>33</v>
      </c>
      <c r="E19" s="1" t="s">
        <v>21</v>
      </c>
      <c r="F19" s="1">
        <f>4+(5+8)</f>
        <v>17</v>
      </c>
      <c r="G19" s="4">
        <f>AVERAGE(2,3)</f>
        <v>2.5</v>
      </c>
      <c r="H19" s="5">
        <v>1</v>
      </c>
      <c r="I19" s="5">
        <v>1</v>
      </c>
      <c r="J19" s="5">
        <v>2</v>
      </c>
      <c r="K19" s="4">
        <f t="shared" si="2"/>
        <v>42.5</v>
      </c>
      <c r="L19" s="4">
        <f t="shared" si="3"/>
        <v>1.6574455499964426E-2</v>
      </c>
    </row>
    <row r="20" spans="1:12">
      <c r="A20" s="3" t="s">
        <v>34</v>
      </c>
      <c r="B20" s="3" t="s">
        <v>26</v>
      </c>
      <c r="C20" s="3" t="s">
        <v>15</v>
      </c>
      <c r="D20" s="3" t="s">
        <v>33</v>
      </c>
      <c r="E20" s="1" t="s">
        <v>35</v>
      </c>
      <c r="F20" s="1">
        <f>5+167+70+53+8+7</f>
        <v>310</v>
      </c>
      <c r="G20" s="4">
        <f>(11*2.5+2*2+2*2.3+2)/J20</f>
        <v>2.3812500000000001</v>
      </c>
      <c r="H20" s="1">
        <v>3</v>
      </c>
      <c r="I20" s="1">
        <v>2</v>
      </c>
      <c r="J20" s="1">
        <v>16</v>
      </c>
      <c r="K20" s="4">
        <f t="shared" si="2"/>
        <v>738.1875</v>
      </c>
      <c r="L20" s="4">
        <f t="shared" si="3"/>
        <v>0.2878836675148233</v>
      </c>
    </row>
    <row r="21" spans="1:12">
      <c r="A21" s="3" t="s">
        <v>34</v>
      </c>
      <c r="B21" s="3" t="s">
        <v>26</v>
      </c>
      <c r="C21" s="3" t="s">
        <v>15</v>
      </c>
      <c r="D21" s="3" t="s">
        <v>33</v>
      </c>
      <c r="E21" s="1" t="s">
        <v>22</v>
      </c>
      <c r="F21" s="1">
        <f>113+5+2</f>
        <v>120</v>
      </c>
      <c r="G21" s="6">
        <f>(6*3.16+1)/J21</f>
        <v>2.8514285714285714</v>
      </c>
      <c r="H21" s="5">
        <v>2</v>
      </c>
      <c r="I21" s="5">
        <v>1</v>
      </c>
      <c r="J21" s="5">
        <v>7</v>
      </c>
      <c r="K21" s="4">
        <f t="shared" si="2"/>
        <v>342.17142857142858</v>
      </c>
      <c r="L21" s="4">
        <f t="shared" si="3"/>
        <v>0.13344247332273881</v>
      </c>
    </row>
    <row r="22" spans="1:12">
      <c r="A22" s="3" t="s">
        <v>34</v>
      </c>
      <c r="B22" s="3" t="s">
        <v>26</v>
      </c>
      <c r="C22" s="3" t="s">
        <v>15</v>
      </c>
      <c r="D22" s="3" t="s">
        <v>33</v>
      </c>
      <c r="E22" s="1" t="s">
        <v>23</v>
      </c>
      <c r="F22" s="1">
        <f>5+17+(8+2+8)+(6+5)</f>
        <v>51</v>
      </c>
      <c r="G22" s="4">
        <f>(3*1+4+1+4+2+2)/J22</f>
        <v>2</v>
      </c>
      <c r="H22" s="5">
        <v>3</v>
      </c>
      <c r="I22" s="5">
        <v>1</v>
      </c>
      <c r="J22" s="5">
        <v>8</v>
      </c>
      <c r="K22" s="4">
        <f t="shared" si="2"/>
        <v>102</v>
      </c>
      <c r="L22" s="4">
        <f t="shared" si="3"/>
        <v>3.9778693199914623E-2</v>
      </c>
    </row>
    <row r="23" spans="1:12">
      <c r="A23" s="3" t="s">
        <v>34</v>
      </c>
      <c r="B23" s="3" t="s">
        <v>26</v>
      </c>
      <c r="C23" s="3" t="s">
        <v>15</v>
      </c>
      <c r="D23" s="3" t="s">
        <v>33</v>
      </c>
      <c r="E23" s="1" t="s">
        <v>24</v>
      </c>
      <c r="F23" s="1">
        <v>0</v>
      </c>
      <c r="G23" s="5">
        <v>0</v>
      </c>
      <c r="H23" s="5">
        <v>0</v>
      </c>
      <c r="I23" s="5">
        <v>0</v>
      </c>
      <c r="J23" s="5">
        <v>0</v>
      </c>
      <c r="K23" s="4">
        <f t="shared" si="2"/>
        <v>0</v>
      </c>
      <c r="L23" s="4">
        <f t="shared" si="3"/>
        <v>0</v>
      </c>
    </row>
    <row r="24" spans="1:12">
      <c r="A24" s="3" t="s">
        <v>34</v>
      </c>
      <c r="B24" s="3" t="s">
        <v>26</v>
      </c>
      <c r="C24" s="3" t="s">
        <v>15</v>
      </c>
      <c r="D24" s="3" t="s">
        <v>32</v>
      </c>
      <c r="E24" s="1" t="s">
        <v>25</v>
      </c>
      <c r="F24" s="1">
        <v>155</v>
      </c>
      <c r="G24" s="4">
        <v>1.95</v>
      </c>
      <c r="H24" s="1"/>
      <c r="I24" s="1"/>
      <c r="J24" s="1"/>
      <c r="K24" s="4">
        <f>F24*G24</f>
        <v>302.25</v>
      </c>
      <c r="L24" s="4">
        <f t="shared" si="3"/>
        <v>0.11787362764386465</v>
      </c>
    </row>
    <row r="25" spans="1:12">
      <c r="A25" s="3" t="s">
        <v>34</v>
      </c>
      <c r="B25" s="3" t="s">
        <v>27</v>
      </c>
      <c r="C25" s="3" t="s">
        <v>15</v>
      </c>
      <c r="D25" s="3" t="s">
        <v>32</v>
      </c>
      <c r="E25" s="1" t="s">
        <v>16</v>
      </c>
      <c r="F25" s="1">
        <f>87+29</f>
        <v>116</v>
      </c>
      <c r="G25" s="4">
        <f>(2*3.5+1*4)/J25</f>
        <v>3.6666666666666665</v>
      </c>
      <c r="H25" s="1">
        <v>2</v>
      </c>
      <c r="I25" s="1">
        <v>0</v>
      </c>
      <c r="J25" s="1">
        <v>3</v>
      </c>
      <c r="K25" s="4">
        <f t="shared" ref="K25:K34" si="4">F25*G25</f>
        <v>425.33333333333331</v>
      </c>
      <c r="L25" s="4">
        <f>K25/SUM(K$25:K$35)</f>
        <v>0.14429984390972678</v>
      </c>
    </row>
    <row r="26" spans="1:12">
      <c r="A26" s="3" t="s">
        <v>34</v>
      </c>
      <c r="B26" s="3" t="s">
        <v>27</v>
      </c>
      <c r="C26" s="3" t="s">
        <v>15</v>
      </c>
      <c r="D26" s="3" t="s">
        <v>32</v>
      </c>
      <c r="E26" s="1" t="s">
        <v>17</v>
      </c>
      <c r="F26" s="1">
        <f>92+(4+6+5+5)+32</f>
        <v>144</v>
      </c>
      <c r="G26" s="6">
        <f>(2*6.5+4*1+2*3.5)/J26</f>
        <v>3</v>
      </c>
      <c r="H26" s="5">
        <v>3</v>
      </c>
      <c r="I26" s="5">
        <v>0</v>
      </c>
      <c r="J26" s="5">
        <v>8</v>
      </c>
      <c r="K26" s="4">
        <f t="shared" si="4"/>
        <v>432</v>
      </c>
      <c r="L26" s="4">
        <f t="shared" ref="L26:L36" si="5">K26/SUM(K$25:K$35)</f>
        <v>0.1465615969490642</v>
      </c>
    </row>
    <row r="27" spans="1:12">
      <c r="A27" s="3" t="s">
        <v>34</v>
      </c>
      <c r="B27" s="3" t="s">
        <v>27</v>
      </c>
      <c r="C27" s="3" t="s">
        <v>15</v>
      </c>
      <c r="D27" s="3" t="s">
        <v>32</v>
      </c>
      <c r="E27" s="1" t="s">
        <v>18</v>
      </c>
      <c r="F27" s="1">
        <f>132+28+29+110+13+7</f>
        <v>319</v>
      </c>
      <c r="G27" s="4">
        <f>(13*2.15+1*5+5*1.2+5*3)/J27</f>
        <v>1.4197368421052632</v>
      </c>
      <c r="H27" s="1">
        <v>5</v>
      </c>
      <c r="I27" s="1">
        <v>2</v>
      </c>
      <c r="J27" s="1">
        <f>13+15+5+5</f>
        <v>38</v>
      </c>
      <c r="K27" s="4">
        <f t="shared" si="4"/>
        <v>452.89605263157898</v>
      </c>
      <c r="L27" s="4">
        <f t="shared" si="5"/>
        <v>0.15365085353150842</v>
      </c>
    </row>
    <row r="28" spans="1:12">
      <c r="A28" s="3" t="s">
        <v>34</v>
      </c>
      <c r="B28" s="3" t="s">
        <v>27</v>
      </c>
      <c r="C28" s="3" t="s">
        <v>15</v>
      </c>
      <c r="D28" s="3" t="s">
        <v>33</v>
      </c>
      <c r="E28" s="1" t="s">
        <v>19</v>
      </c>
      <c r="F28" s="1">
        <v>0</v>
      </c>
      <c r="G28" s="4">
        <v>0</v>
      </c>
      <c r="H28" s="1">
        <v>0</v>
      </c>
      <c r="I28" s="1">
        <v>0</v>
      </c>
      <c r="J28" s="1">
        <v>0</v>
      </c>
      <c r="K28" s="4">
        <f t="shared" si="4"/>
        <v>0</v>
      </c>
      <c r="L28" s="4">
        <f t="shared" si="5"/>
        <v>0</v>
      </c>
    </row>
    <row r="29" spans="1:12">
      <c r="A29" s="3" t="s">
        <v>34</v>
      </c>
      <c r="B29" s="3" t="s">
        <v>27</v>
      </c>
      <c r="C29" s="3" t="s">
        <v>15</v>
      </c>
      <c r="D29" s="3" t="s">
        <v>33</v>
      </c>
      <c r="E29" s="1" t="s">
        <v>20</v>
      </c>
      <c r="F29" s="1">
        <f>42+77+19+14+10+42</f>
        <v>204</v>
      </c>
      <c r="G29" s="4">
        <f>(7*1+12*1+7*1)/J29</f>
        <v>1</v>
      </c>
      <c r="H29" s="1">
        <v>3</v>
      </c>
      <c r="I29" s="1">
        <v>3</v>
      </c>
      <c r="J29" s="1">
        <v>26</v>
      </c>
      <c r="K29" s="4">
        <f t="shared" si="4"/>
        <v>204</v>
      </c>
      <c r="L29" s="4">
        <f t="shared" si="5"/>
        <v>6.9209643003724758E-2</v>
      </c>
    </row>
    <row r="30" spans="1:12">
      <c r="A30" s="3" t="s">
        <v>34</v>
      </c>
      <c r="B30" s="3" t="s">
        <v>27</v>
      </c>
      <c r="C30" s="3" t="s">
        <v>15</v>
      </c>
      <c r="D30" s="3" t="s">
        <v>33</v>
      </c>
      <c r="E30" s="1" t="s">
        <v>21</v>
      </c>
      <c r="F30" s="1">
        <v>5</v>
      </c>
      <c r="G30" s="4">
        <v>1</v>
      </c>
      <c r="H30" s="5">
        <v>1</v>
      </c>
      <c r="I30" s="5">
        <v>1</v>
      </c>
      <c r="J30" s="5">
        <v>1</v>
      </c>
      <c r="K30" s="4">
        <f t="shared" si="4"/>
        <v>5</v>
      </c>
      <c r="L30" s="4">
        <f t="shared" si="5"/>
        <v>1.6963147795030578E-3</v>
      </c>
    </row>
    <row r="31" spans="1:12">
      <c r="A31" s="3" t="s">
        <v>34</v>
      </c>
      <c r="B31" s="3" t="s">
        <v>27</v>
      </c>
      <c r="C31" s="3" t="s">
        <v>15</v>
      </c>
      <c r="D31" s="3" t="s">
        <v>33</v>
      </c>
      <c r="E31" s="1" t="s">
        <v>35</v>
      </c>
      <c r="F31" s="1">
        <f>5+167+70+53+8+8</f>
        <v>311</v>
      </c>
      <c r="G31" s="4">
        <f>(11*2.5+2*2+2*2.3+2)/J31</f>
        <v>2.3812500000000001</v>
      </c>
      <c r="H31" s="1">
        <v>3</v>
      </c>
      <c r="I31" s="1">
        <v>2</v>
      </c>
      <c r="J31" s="1">
        <v>16</v>
      </c>
      <c r="K31" s="4">
        <f t="shared" si="4"/>
        <v>740.56875000000002</v>
      </c>
      <c r="L31" s="4">
        <f t="shared" si="5"/>
        <v>0.25124754317262105</v>
      </c>
    </row>
    <row r="32" spans="1:12">
      <c r="A32" s="3" t="s">
        <v>34</v>
      </c>
      <c r="B32" s="3" t="s">
        <v>27</v>
      </c>
      <c r="C32" s="3" t="s">
        <v>15</v>
      </c>
      <c r="D32" s="3" t="s">
        <v>33</v>
      </c>
      <c r="E32" s="1" t="s">
        <v>22</v>
      </c>
      <c r="F32" s="1">
        <f>2+13+113+5</f>
        <v>133</v>
      </c>
      <c r="G32" s="6">
        <f>(1+3+6*3.16)/J32</f>
        <v>2.2960000000000003</v>
      </c>
      <c r="H32" s="5">
        <v>3</v>
      </c>
      <c r="I32" s="5">
        <v>1</v>
      </c>
      <c r="J32" s="5">
        <v>10</v>
      </c>
      <c r="K32" s="4">
        <f t="shared" si="4"/>
        <v>305.36800000000005</v>
      </c>
      <c r="L32" s="4">
        <f t="shared" si="5"/>
        <v>0.10360005031745798</v>
      </c>
    </row>
    <row r="33" spans="1:12">
      <c r="A33" s="3" t="s">
        <v>34</v>
      </c>
      <c r="B33" s="3" t="s">
        <v>27</v>
      </c>
      <c r="C33" s="3" t="s">
        <v>15</v>
      </c>
      <c r="D33" s="3" t="s">
        <v>33</v>
      </c>
      <c r="E33" s="1" t="s">
        <v>23</v>
      </c>
      <c r="F33" s="1">
        <f>8+2+8+5+17</f>
        <v>40</v>
      </c>
      <c r="G33" s="4">
        <f>(4+1+4+3*1)/J33</f>
        <v>2</v>
      </c>
      <c r="H33" s="5">
        <v>2</v>
      </c>
      <c r="I33" s="5">
        <v>1</v>
      </c>
      <c r="J33" s="5">
        <v>6</v>
      </c>
      <c r="K33" s="4">
        <f t="shared" si="4"/>
        <v>80</v>
      </c>
      <c r="L33" s="4">
        <f t="shared" si="5"/>
        <v>2.7141036472048925E-2</v>
      </c>
    </row>
    <row r="34" spans="1:12">
      <c r="A34" s="3" t="s">
        <v>34</v>
      </c>
      <c r="B34" s="3" t="s">
        <v>27</v>
      </c>
      <c r="C34" s="3" t="s">
        <v>15</v>
      </c>
      <c r="D34" s="3" t="s">
        <v>33</v>
      </c>
      <c r="E34" s="1" t="s">
        <v>24</v>
      </c>
      <c r="F34" s="1">
        <v>0</v>
      </c>
      <c r="G34" s="5">
        <v>0</v>
      </c>
      <c r="H34" s="5">
        <v>0</v>
      </c>
      <c r="I34" s="5">
        <v>0</v>
      </c>
      <c r="J34" s="5">
        <v>0</v>
      </c>
      <c r="K34" s="4">
        <f t="shared" si="4"/>
        <v>0</v>
      </c>
      <c r="L34" s="4">
        <f t="shared" si="5"/>
        <v>0</v>
      </c>
    </row>
    <row r="35" spans="1:12">
      <c r="A35" s="3" t="s">
        <v>34</v>
      </c>
      <c r="B35" s="3" t="s">
        <v>27</v>
      </c>
      <c r="C35" s="3" t="s">
        <v>15</v>
      </c>
      <c r="D35" s="3" t="s">
        <v>32</v>
      </c>
      <c r="E35" s="1" t="s">
        <v>25</v>
      </c>
      <c r="F35" s="1">
        <v>288</v>
      </c>
      <c r="G35" s="4">
        <v>1.05</v>
      </c>
      <c r="H35" s="1"/>
      <c r="I35" s="1"/>
      <c r="J35" s="1"/>
      <c r="K35" s="4">
        <f>F35*G35</f>
        <v>302.40000000000003</v>
      </c>
      <c r="L35" s="4">
        <f t="shared" si="5"/>
        <v>0.10259311786434495</v>
      </c>
    </row>
    <row r="36" spans="1:12">
      <c r="A36" s="3" t="s">
        <v>34</v>
      </c>
      <c r="B36" s="3" t="s">
        <v>28</v>
      </c>
      <c r="C36" s="3" t="s">
        <v>15</v>
      </c>
      <c r="D36" s="3" t="s">
        <v>32</v>
      </c>
      <c r="E36" s="1" t="s">
        <v>16</v>
      </c>
      <c r="F36" s="1">
        <f>68+7</f>
        <v>75</v>
      </c>
      <c r="G36" s="4">
        <f>(6*1.16+3)/J36</f>
        <v>1.4228571428571428</v>
      </c>
      <c r="H36" s="1">
        <v>2</v>
      </c>
      <c r="I36" s="1">
        <v>0</v>
      </c>
      <c r="J36" s="1">
        <v>7</v>
      </c>
      <c r="K36" s="4">
        <f t="shared" ref="K36:K45" si="6">F36*G36</f>
        <v>106.71428571428571</v>
      </c>
      <c r="L36" s="4">
        <f>K36/SUM(K$36:K$46)</f>
        <v>3.8671396779910661E-2</v>
      </c>
    </row>
    <row r="37" spans="1:12">
      <c r="A37" s="3" t="s">
        <v>34</v>
      </c>
      <c r="B37" s="3" t="s">
        <v>28</v>
      </c>
      <c r="C37" s="3" t="s">
        <v>15</v>
      </c>
      <c r="D37" s="3" t="s">
        <v>32</v>
      </c>
      <c r="E37" s="1" t="s">
        <v>17</v>
      </c>
      <c r="F37" s="1">
        <f>32+(4+8+6+5)+25</f>
        <v>80</v>
      </c>
      <c r="G37" s="6">
        <f>(2*3.5+1+2+1+1+3*1.33)/J37</f>
        <v>1.7766666666666666</v>
      </c>
      <c r="H37" s="5">
        <v>3</v>
      </c>
      <c r="I37" s="5">
        <v>0</v>
      </c>
      <c r="J37" s="5">
        <v>9</v>
      </c>
      <c r="K37" s="4">
        <f t="shared" si="6"/>
        <v>142.13333333333333</v>
      </c>
      <c r="L37" s="4">
        <f t="shared" ref="L37:L47" si="7">K37/SUM(K$36:K$46)</f>
        <v>5.1506642172546781E-2</v>
      </c>
    </row>
    <row r="38" spans="1:12">
      <c r="A38" s="3" t="s">
        <v>34</v>
      </c>
      <c r="B38" s="3" t="s">
        <v>28</v>
      </c>
      <c r="C38" s="3" t="s">
        <v>15</v>
      </c>
      <c r="D38" s="3" t="s">
        <v>32</v>
      </c>
      <c r="E38" s="1" t="s">
        <v>18</v>
      </c>
      <c r="F38" s="1">
        <f>132+28+29+110+13+7</f>
        <v>319</v>
      </c>
      <c r="G38" s="4">
        <f>(13*2.15+1*5+5*1.2+5*3)/J38</f>
        <v>1.4197368421052632</v>
      </c>
      <c r="H38" s="1">
        <v>5</v>
      </c>
      <c r="I38" s="1">
        <v>2</v>
      </c>
      <c r="J38" s="1">
        <f>13+15+5+5</f>
        <v>38</v>
      </c>
      <c r="K38" s="4">
        <f t="shared" si="6"/>
        <v>452.89605263157898</v>
      </c>
      <c r="L38" s="4">
        <f t="shared" si="7"/>
        <v>0.16412163408246006</v>
      </c>
    </row>
    <row r="39" spans="1:12">
      <c r="A39" s="3" t="s">
        <v>34</v>
      </c>
      <c r="B39" s="3" t="s">
        <v>28</v>
      </c>
      <c r="C39" s="3" t="s">
        <v>15</v>
      </c>
      <c r="D39" s="3" t="s">
        <v>32</v>
      </c>
      <c r="E39" s="1" t="s">
        <v>19</v>
      </c>
      <c r="F39" s="1">
        <v>0</v>
      </c>
      <c r="G39" s="4">
        <v>0</v>
      </c>
      <c r="H39" s="1">
        <v>0</v>
      </c>
      <c r="I39" s="1">
        <v>0</v>
      </c>
      <c r="J39" s="1">
        <v>0</v>
      </c>
      <c r="K39" s="4">
        <f t="shared" si="6"/>
        <v>0</v>
      </c>
      <c r="L39" s="4">
        <f t="shared" si="7"/>
        <v>0</v>
      </c>
    </row>
    <row r="40" spans="1:12">
      <c r="A40" s="3" t="s">
        <v>34</v>
      </c>
      <c r="B40" s="3" t="s">
        <v>28</v>
      </c>
      <c r="C40" s="3" t="s">
        <v>15</v>
      </c>
      <c r="D40" s="3" t="s">
        <v>33</v>
      </c>
      <c r="E40" s="1" t="s">
        <v>20</v>
      </c>
      <c r="F40" s="1">
        <f>42+77+19+14+10+42+(20+17)</f>
        <v>241</v>
      </c>
      <c r="G40" s="4">
        <f>(7*1+12*1+7*1)/J40</f>
        <v>0.8666666666666667</v>
      </c>
      <c r="H40" s="1">
        <v>5</v>
      </c>
      <c r="I40" s="1">
        <v>3</v>
      </c>
      <c r="J40" s="1">
        <f>26+4</f>
        <v>30</v>
      </c>
      <c r="K40" s="4">
        <f t="shared" si="6"/>
        <v>208.86666666666667</v>
      </c>
      <c r="L40" s="4">
        <f t="shared" si="7"/>
        <v>7.5689638802340101E-2</v>
      </c>
    </row>
    <row r="41" spans="1:12">
      <c r="A41" s="3" t="s">
        <v>34</v>
      </c>
      <c r="B41" s="3" t="s">
        <v>28</v>
      </c>
      <c r="C41" s="3" t="s">
        <v>15</v>
      </c>
      <c r="D41" s="3" t="s">
        <v>33</v>
      </c>
      <c r="E41" s="1" t="s">
        <v>21</v>
      </c>
      <c r="F41" s="1">
        <f>4+5+22+1</f>
        <v>32</v>
      </c>
      <c r="G41" s="4">
        <f>AVERAGE(9,2,1)</f>
        <v>4</v>
      </c>
      <c r="H41" s="5">
        <v>2</v>
      </c>
      <c r="I41" s="5">
        <v>1</v>
      </c>
      <c r="J41" s="5">
        <v>3</v>
      </c>
      <c r="K41" s="4">
        <f t="shared" si="6"/>
        <v>128</v>
      </c>
      <c r="L41" s="4">
        <f t="shared" si="7"/>
        <v>4.638496856064251E-2</v>
      </c>
    </row>
    <row r="42" spans="1:12">
      <c r="A42" s="3" t="s">
        <v>34</v>
      </c>
      <c r="B42" s="3" t="s">
        <v>28</v>
      </c>
      <c r="C42" s="3" t="s">
        <v>15</v>
      </c>
      <c r="D42" s="3" t="s">
        <v>33</v>
      </c>
      <c r="E42" s="1" t="s">
        <v>35</v>
      </c>
      <c r="F42" s="1">
        <f>5+167+70+53+8+8</f>
        <v>311</v>
      </c>
      <c r="G42" s="4">
        <f>(11*2.5+2*2+2*2.3+2)/J42</f>
        <v>2.3812500000000001</v>
      </c>
      <c r="H42" s="1">
        <v>3</v>
      </c>
      <c r="I42" s="1">
        <v>2</v>
      </c>
      <c r="J42" s="1">
        <v>16</v>
      </c>
      <c r="K42" s="4">
        <f t="shared" si="6"/>
        <v>740.56875000000002</v>
      </c>
      <c r="L42" s="4">
        <f t="shared" si="7"/>
        <v>0.26836920457612751</v>
      </c>
    </row>
    <row r="43" spans="1:12">
      <c r="A43" s="3" t="s">
        <v>34</v>
      </c>
      <c r="B43" s="3" t="s">
        <v>28</v>
      </c>
      <c r="C43" s="3" t="s">
        <v>15</v>
      </c>
      <c r="D43" s="3" t="s">
        <v>33</v>
      </c>
      <c r="E43" s="1" t="s">
        <v>22</v>
      </c>
      <c r="F43" s="1">
        <f>133+2+6+5+5</f>
        <v>151</v>
      </c>
      <c r="G43" s="6">
        <f>(6*3.16+1+2+2)/J43</f>
        <v>2.6622222222222223</v>
      </c>
      <c r="H43" s="5">
        <v>3</v>
      </c>
      <c r="I43" s="5">
        <v>1</v>
      </c>
      <c r="J43" s="5">
        <v>9</v>
      </c>
      <c r="K43" s="4">
        <f t="shared" si="6"/>
        <v>401.99555555555554</v>
      </c>
      <c r="L43" s="4">
        <f t="shared" si="7"/>
        <v>0.14567618129658175</v>
      </c>
    </row>
    <row r="44" spans="1:12">
      <c r="A44" s="3" t="s">
        <v>34</v>
      </c>
      <c r="B44" s="3" t="s">
        <v>28</v>
      </c>
      <c r="C44" s="3" t="s">
        <v>15</v>
      </c>
      <c r="D44" s="3" t="s">
        <v>33</v>
      </c>
      <c r="E44" s="1" t="s">
        <v>23</v>
      </c>
      <c r="F44" s="1">
        <f>5+17+(4+1+4)+(18+21)</f>
        <v>70</v>
      </c>
      <c r="G44" s="4">
        <f>(3*1+4+1+4+6+8)/J44</f>
        <v>3.25</v>
      </c>
      <c r="H44" s="5">
        <v>3</v>
      </c>
      <c r="I44" s="5">
        <v>1</v>
      </c>
      <c r="J44" s="5">
        <v>8</v>
      </c>
      <c r="K44" s="4">
        <f t="shared" si="6"/>
        <v>227.5</v>
      </c>
      <c r="L44" s="4">
        <f t="shared" si="7"/>
        <v>8.2442033965204456E-2</v>
      </c>
    </row>
    <row r="45" spans="1:12">
      <c r="A45" s="3" t="s">
        <v>34</v>
      </c>
      <c r="B45" s="3" t="s">
        <v>28</v>
      </c>
      <c r="C45" s="3" t="s">
        <v>15</v>
      </c>
      <c r="D45" s="3" t="s">
        <v>33</v>
      </c>
      <c r="E45" s="1" t="s">
        <v>24</v>
      </c>
      <c r="F45" s="1">
        <v>0</v>
      </c>
      <c r="G45" s="5">
        <v>0</v>
      </c>
      <c r="H45" s="5">
        <v>0</v>
      </c>
      <c r="I45" s="5">
        <v>0</v>
      </c>
      <c r="J45" s="5">
        <v>0</v>
      </c>
      <c r="K45" s="4">
        <f t="shared" si="6"/>
        <v>0</v>
      </c>
      <c r="L45" s="4">
        <f t="shared" si="7"/>
        <v>0</v>
      </c>
    </row>
    <row r="46" spans="1:12">
      <c r="A46" s="3" t="s">
        <v>34</v>
      </c>
      <c r="B46" s="3" t="s">
        <v>28</v>
      </c>
      <c r="C46" s="3" t="s">
        <v>15</v>
      </c>
      <c r="D46" s="3" t="s">
        <v>33</v>
      </c>
      <c r="E46" s="1" t="s">
        <v>25</v>
      </c>
      <c r="F46" s="1">
        <v>179</v>
      </c>
      <c r="G46" s="4">
        <v>1.96</v>
      </c>
      <c r="H46" s="1"/>
      <c r="I46" s="1"/>
      <c r="J46" s="1"/>
      <c r="K46" s="4">
        <f>F46*G46</f>
        <v>350.84</v>
      </c>
      <c r="L46" s="4">
        <f t="shared" si="7"/>
        <v>0.12713829976418606</v>
      </c>
    </row>
    <row r="47" spans="1:12">
      <c r="A47" s="3" t="s">
        <v>34</v>
      </c>
      <c r="B47" s="3" t="s">
        <v>29</v>
      </c>
      <c r="C47" s="3" t="s">
        <v>30</v>
      </c>
      <c r="D47" s="3" t="s">
        <v>32</v>
      </c>
      <c r="E47" s="1" t="s">
        <v>16</v>
      </c>
      <c r="F47" s="1">
        <f>86+15</f>
        <v>101</v>
      </c>
      <c r="G47" s="4">
        <f>(5*2.4+4)/J47</f>
        <v>2.6666666666666665</v>
      </c>
      <c r="H47" s="1">
        <v>2</v>
      </c>
      <c r="I47" s="1">
        <v>0</v>
      </c>
      <c r="J47" s="1">
        <v>6</v>
      </c>
      <c r="K47" s="4">
        <f t="shared" ref="K47:K56" si="8">F47*G47</f>
        <v>269.33333333333331</v>
      </c>
      <c r="L47" s="4">
        <f>K47/SUM(K$47:K$57)</f>
        <v>0.26040323828185424</v>
      </c>
    </row>
    <row r="48" spans="1:12">
      <c r="A48" s="3" t="s">
        <v>34</v>
      </c>
      <c r="B48" s="3" t="s">
        <v>29</v>
      </c>
      <c r="C48" s="3" t="s">
        <v>30</v>
      </c>
      <c r="D48" s="3" t="s">
        <v>32</v>
      </c>
      <c r="E48" s="1" t="s">
        <v>17</v>
      </c>
      <c r="F48" s="1">
        <f>(2+2+9)+(6+11)</f>
        <v>30</v>
      </c>
      <c r="G48" s="6">
        <f>(1+1+2+2+1)/J48</f>
        <v>1.4</v>
      </c>
      <c r="H48" s="5">
        <v>3</v>
      </c>
      <c r="I48" s="5">
        <v>0</v>
      </c>
      <c r="J48" s="5">
        <v>5</v>
      </c>
      <c r="K48" s="4">
        <f t="shared" si="8"/>
        <v>42</v>
      </c>
      <c r="L48" s="4">
        <f t="shared" ref="L48:L58" si="9">K48/SUM(K$47:K$57)</f>
        <v>4.0607435672665393E-2</v>
      </c>
    </row>
    <row r="49" spans="1:12">
      <c r="A49" s="3" t="s">
        <v>34</v>
      </c>
      <c r="B49" s="3" t="s">
        <v>29</v>
      </c>
      <c r="C49" s="3" t="s">
        <v>30</v>
      </c>
      <c r="D49" s="3" t="s">
        <v>32</v>
      </c>
      <c r="E49" s="1" t="s">
        <v>18</v>
      </c>
      <c r="F49" s="1">
        <v>0</v>
      </c>
      <c r="G49" s="4">
        <v>0</v>
      </c>
      <c r="H49" s="1">
        <v>0</v>
      </c>
      <c r="I49" s="1">
        <v>0</v>
      </c>
      <c r="J49" s="5">
        <v>0</v>
      </c>
      <c r="K49" s="4">
        <f>F49*G49</f>
        <v>0</v>
      </c>
      <c r="L49" s="4">
        <f t="shared" si="9"/>
        <v>0</v>
      </c>
    </row>
    <row r="50" spans="1:12">
      <c r="A50" s="3" t="s">
        <v>34</v>
      </c>
      <c r="B50" s="3" t="s">
        <v>29</v>
      </c>
      <c r="C50" s="3" t="s">
        <v>30</v>
      </c>
      <c r="D50" s="3" t="s">
        <v>32</v>
      </c>
      <c r="E50" s="1" t="s">
        <v>19</v>
      </c>
      <c r="F50" s="1">
        <v>0</v>
      </c>
      <c r="G50" s="4">
        <v>0</v>
      </c>
      <c r="H50" s="1">
        <v>0</v>
      </c>
      <c r="I50" s="1">
        <v>0</v>
      </c>
      <c r="J50" s="1">
        <v>0</v>
      </c>
      <c r="K50" s="4">
        <f t="shared" ref="K50:K57" si="10">F50*G50</f>
        <v>0</v>
      </c>
      <c r="L50" s="4">
        <f t="shared" si="9"/>
        <v>0</v>
      </c>
    </row>
    <row r="51" spans="1:12">
      <c r="A51" s="3" t="s">
        <v>34</v>
      </c>
      <c r="B51" s="3" t="s">
        <v>29</v>
      </c>
      <c r="C51" s="3" t="s">
        <v>30</v>
      </c>
      <c r="D51" s="3" t="s">
        <v>33</v>
      </c>
      <c r="E51" s="1" t="s">
        <v>20</v>
      </c>
      <c r="F51" s="1">
        <f>42+77+19+14+10+42</f>
        <v>204</v>
      </c>
      <c r="G51" s="4">
        <f>(7*1+12*1+7*1)/J51</f>
        <v>1</v>
      </c>
      <c r="H51" s="1">
        <v>3</v>
      </c>
      <c r="I51" s="1">
        <v>3</v>
      </c>
      <c r="J51" s="1">
        <v>26</v>
      </c>
      <c r="K51" s="4">
        <f t="shared" si="10"/>
        <v>204</v>
      </c>
      <c r="L51" s="4">
        <f t="shared" si="9"/>
        <v>0.19723611612437478</v>
      </c>
    </row>
    <row r="52" spans="1:12">
      <c r="A52" s="3" t="s">
        <v>34</v>
      </c>
      <c r="B52" s="3" t="s">
        <v>29</v>
      </c>
      <c r="C52" s="3" t="s">
        <v>30</v>
      </c>
      <c r="D52" s="3" t="s">
        <v>33</v>
      </c>
      <c r="E52" s="1" t="s">
        <v>21</v>
      </c>
      <c r="F52" s="1">
        <f>4+6+10</f>
        <v>20</v>
      </c>
      <c r="G52" s="4">
        <f>AVERAGE(3,2)</f>
        <v>2.5</v>
      </c>
      <c r="H52" s="5">
        <v>1</v>
      </c>
      <c r="I52" s="5">
        <v>1</v>
      </c>
      <c r="J52" s="5">
        <v>2</v>
      </c>
      <c r="K52" s="4">
        <f t="shared" si="10"/>
        <v>50</v>
      </c>
      <c r="L52" s="4">
        <f t="shared" si="9"/>
        <v>4.8342185324601661E-2</v>
      </c>
    </row>
    <row r="53" spans="1:12">
      <c r="A53" s="3" t="s">
        <v>34</v>
      </c>
      <c r="B53" s="3" t="s">
        <v>29</v>
      </c>
      <c r="C53" s="3" t="s">
        <v>30</v>
      </c>
      <c r="D53" s="3" t="s">
        <v>33</v>
      </c>
      <c r="E53" s="1" t="s">
        <v>35</v>
      </c>
      <c r="F53" s="1">
        <v>0</v>
      </c>
      <c r="G53" s="4">
        <v>0</v>
      </c>
      <c r="H53" s="5">
        <v>0</v>
      </c>
      <c r="I53" s="5">
        <v>0</v>
      </c>
      <c r="J53" s="5">
        <v>0</v>
      </c>
      <c r="K53" s="4">
        <f t="shared" si="10"/>
        <v>0</v>
      </c>
      <c r="L53" s="4">
        <f t="shared" si="9"/>
        <v>0</v>
      </c>
    </row>
    <row r="54" spans="1:12">
      <c r="A54" s="3" t="s">
        <v>34</v>
      </c>
      <c r="B54" s="3" t="s">
        <v>29</v>
      </c>
      <c r="C54" s="3" t="s">
        <v>30</v>
      </c>
      <c r="D54" s="3" t="s">
        <v>33</v>
      </c>
      <c r="E54" s="1" t="s">
        <v>22</v>
      </c>
      <c r="F54" s="1">
        <v>10</v>
      </c>
      <c r="G54" s="6">
        <v>3</v>
      </c>
      <c r="H54" s="5">
        <v>1</v>
      </c>
      <c r="I54" s="5">
        <v>0</v>
      </c>
      <c r="J54" s="5">
        <v>1</v>
      </c>
      <c r="K54" s="4">
        <f t="shared" si="10"/>
        <v>30</v>
      </c>
      <c r="L54" s="4">
        <f t="shared" si="9"/>
        <v>2.9005311194760998E-2</v>
      </c>
    </row>
    <row r="55" spans="1:12">
      <c r="A55" s="3" t="s">
        <v>34</v>
      </c>
      <c r="B55" s="3" t="s">
        <v>29</v>
      </c>
      <c r="C55" s="3" t="s">
        <v>30</v>
      </c>
      <c r="D55" s="3" t="s">
        <v>33</v>
      </c>
      <c r="E55" s="1" t="s">
        <v>23</v>
      </c>
      <c r="F55" s="1">
        <f>5+17+(8+2+8)+(6+5)</f>
        <v>51</v>
      </c>
      <c r="G55" s="4">
        <f>(3*1+4+1+4+2+2)/J55</f>
        <v>2</v>
      </c>
      <c r="H55" s="5">
        <v>3</v>
      </c>
      <c r="I55" s="5">
        <v>1</v>
      </c>
      <c r="J55" s="5">
        <v>8</v>
      </c>
      <c r="K55" s="4">
        <f t="shared" si="10"/>
        <v>102</v>
      </c>
      <c r="L55" s="4">
        <f t="shared" si="9"/>
        <v>9.8618058062187389E-2</v>
      </c>
    </row>
    <row r="56" spans="1:12">
      <c r="A56" s="3" t="s">
        <v>34</v>
      </c>
      <c r="B56" s="3" t="s">
        <v>29</v>
      </c>
      <c r="C56" s="3" t="s">
        <v>30</v>
      </c>
      <c r="D56" s="3" t="s">
        <v>33</v>
      </c>
      <c r="E56" s="1" t="s">
        <v>24</v>
      </c>
      <c r="F56" s="1">
        <v>0</v>
      </c>
      <c r="G56" s="5">
        <v>0</v>
      </c>
      <c r="H56" s="5">
        <v>0</v>
      </c>
      <c r="I56" s="5">
        <v>0</v>
      </c>
      <c r="J56" s="5">
        <v>0</v>
      </c>
      <c r="K56" s="4">
        <f t="shared" si="10"/>
        <v>0</v>
      </c>
      <c r="L56" s="4">
        <f t="shared" si="9"/>
        <v>0</v>
      </c>
    </row>
    <row r="57" spans="1:12">
      <c r="A57" s="3" t="s">
        <v>34</v>
      </c>
      <c r="B57" s="3" t="s">
        <v>29</v>
      </c>
      <c r="C57" s="3" t="s">
        <v>30</v>
      </c>
      <c r="D57" s="3" t="s">
        <v>32</v>
      </c>
      <c r="E57" s="1" t="s">
        <v>25</v>
      </c>
      <c r="F57" s="1">
        <v>216</v>
      </c>
      <c r="G57" s="4">
        <v>1.56</v>
      </c>
      <c r="H57" s="5"/>
      <c r="I57" s="5"/>
      <c r="J57" s="5"/>
      <c r="K57" s="4">
        <f>F57*G57</f>
        <v>336.96000000000004</v>
      </c>
      <c r="L57" s="4">
        <f t="shared" si="9"/>
        <v>0.32578765533955556</v>
      </c>
    </row>
    <row r="58" spans="1:12">
      <c r="A58" s="3" t="s">
        <v>34</v>
      </c>
      <c r="B58" s="3" t="s">
        <v>29</v>
      </c>
      <c r="C58" s="3" t="s">
        <v>15</v>
      </c>
      <c r="D58" s="3" t="s">
        <v>32</v>
      </c>
      <c r="E58" s="1" t="s">
        <v>16</v>
      </c>
      <c r="F58" s="1">
        <v>0</v>
      </c>
      <c r="G58" s="4">
        <v>0</v>
      </c>
      <c r="H58" s="1">
        <v>0</v>
      </c>
      <c r="I58" s="1">
        <v>0</v>
      </c>
      <c r="J58" s="5">
        <v>0</v>
      </c>
      <c r="K58" s="4">
        <f t="shared" ref="K58:K59" si="11">F58*G58</f>
        <v>0</v>
      </c>
      <c r="L58" s="4">
        <f>K58/SUM(K$58:K$68)</f>
        <v>0</v>
      </c>
    </row>
    <row r="59" spans="1:12">
      <c r="A59" s="3" t="s">
        <v>34</v>
      </c>
      <c r="B59" s="3" t="s">
        <v>29</v>
      </c>
      <c r="C59" s="3" t="s">
        <v>15</v>
      </c>
      <c r="D59" s="3" t="s">
        <v>32</v>
      </c>
      <c r="E59" s="1" t="s">
        <v>17</v>
      </c>
      <c r="F59" s="1">
        <f>19+33</f>
        <v>52</v>
      </c>
      <c r="G59" s="5">
        <f>AVERAGE(3,6)</f>
        <v>4.5</v>
      </c>
      <c r="H59" s="5">
        <v>2</v>
      </c>
      <c r="I59" s="5">
        <v>0</v>
      </c>
      <c r="J59" s="5">
        <v>2</v>
      </c>
      <c r="K59" s="4">
        <f t="shared" si="11"/>
        <v>234</v>
      </c>
      <c r="L59" s="4">
        <f t="shared" ref="L59:L68" si="12">K59/SUM(K$58:K$68)</f>
        <v>8.6056556907099249E-2</v>
      </c>
    </row>
    <row r="60" spans="1:12">
      <c r="A60" s="3" t="s">
        <v>34</v>
      </c>
      <c r="B60" s="3" t="s">
        <v>29</v>
      </c>
      <c r="C60" s="3" t="s">
        <v>15</v>
      </c>
      <c r="D60" s="3" t="s">
        <v>32</v>
      </c>
      <c r="E60" s="1" t="s">
        <v>18</v>
      </c>
      <c r="F60" s="1">
        <v>0</v>
      </c>
      <c r="G60" s="4">
        <v>0</v>
      </c>
      <c r="H60" s="1">
        <v>0</v>
      </c>
      <c r="I60" s="1">
        <v>0</v>
      </c>
      <c r="J60" s="5">
        <v>0</v>
      </c>
      <c r="K60" s="4">
        <f>F60*G60</f>
        <v>0</v>
      </c>
      <c r="L60" s="4">
        <f t="shared" si="12"/>
        <v>0</v>
      </c>
    </row>
    <row r="61" spans="1:12">
      <c r="A61" s="3" t="s">
        <v>34</v>
      </c>
      <c r="B61" s="3" t="s">
        <v>29</v>
      </c>
      <c r="C61" s="3" t="s">
        <v>15</v>
      </c>
      <c r="D61" s="3" t="s">
        <v>32</v>
      </c>
      <c r="E61" s="1" t="s">
        <v>19</v>
      </c>
      <c r="F61" s="1">
        <v>25</v>
      </c>
      <c r="G61" s="4">
        <v>1.5</v>
      </c>
      <c r="H61" s="5">
        <v>1</v>
      </c>
      <c r="I61" s="5">
        <v>0</v>
      </c>
      <c r="J61" s="5">
        <v>2</v>
      </c>
      <c r="K61" s="4">
        <f t="shared" ref="K61:K67" si="13">F61*G61</f>
        <v>37.5</v>
      </c>
      <c r="L61" s="4">
        <f t="shared" si="12"/>
        <v>1.3791114888958214E-2</v>
      </c>
    </row>
    <row r="62" spans="1:12">
      <c r="A62" s="3" t="s">
        <v>34</v>
      </c>
      <c r="B62" s="3" t="s">
        <v>29</v>
      </c>
      <c r="C62" s="3" t="s">
        <v>15</v>
      </c>
      <c r="D62" s="3" t="s">
        <v>33</v>
      </c>
      <c r="E62" s="1" t="s">
        <v>20</v>
      </c>
      <c r="F62" s="1">
        <v>0</v>
      </c>
      <c r="G62" s="4">
        <v>0</v>
      </c>
      <c r="H62" s="5">
        <v>0</v>
      </c>
      <c r="I62" s="5">
        <v>0</v>
      </c>
      <c r="J62" s="5">
        <v>0</v>
      </c>
      <c r="K62" s="4">
        <f t="shared" si="13"/>
        <v>0</v>
      </c>
      <c r="L62" s="4">
        <f t="shared" si="12"/>
        <v>0</v>
      </c>
    </row>
    <row r="63" spans="1:12">
      <c r="A63" s="3" t="s">
        <v>34</v>
      </c>
      <c r="B63" s="3" t="s">
        <v>29</v>
      </c>
      <c r="C63" s="3" t="s">
        <v>15</v>
      </c>
      <c r="D63" s="3" t="s">
        <v>33</v>
      </c>
      <c r="E63" s="1" t="s">
        <v>21</v>
      </c>
      <c r="F63" s="1">
        <v>0</v>
      </c>
      <c r="G63" s="4">
        <v>0</v>
      </c>
      <c r="H63" s="5">
        <v>0</v>
      </c>
      <c r="I63" s="5">
        <v>0</v>
      </c>
      <c r="J63" s="5">
        <v>0</v>
      </c>
      <c r="K63" s="4">
        <f t="shared" si="13"/>
        <v>0</v>
      </c>
      <c r="L63" s="4">
        <f t="shared" si="12"/>
        <v>0</v>
      </c>
    </row>
    <row r="64" spans="1:12">
      <c r="A64" s="3" t="s">
        <v>34</v>
      </c>
      <c r="B64" s="3" t="s">
        <v>29</v>
      </c>
      <c r="C64" s="3" t="s">
        <v>15</v>
      </c>
      <c r="D64" s="3" t="s">
        <v>33</v>
      </c>
      <c r="E64" s="1" t="s">
        <v>35</v>
      </c>
      <c r="F64" s="1">
        <f>60+8+188</f>
        <v>256</v>
      </c>
      <c r="G64" s="4">
        <f>(3*2.33+8*2.5)/J64</f>
        <v>2.4536363636363636</v>
      </c>
      <c r="H64" s="5">
        <v>2</v>
      </c>
      <c r="I64" s="5">
        <v>1</v>
      </c>
      <c r="J64" s="5">
        <v>11</v>
      </c>
      <c r="K64" s="4">
        <f t="shared" si="13"/>
        <v>628.13090909090909</v>
      </c>
      <c r="L64" s="4">
        <f t="shared" si="12"/>
        <v>0.23100334753542653</v>
      </c>
    </row>
    <row r="65" spans="1:12">
      <c r="A65" s="3" t="s">
        <v>34</v>
      </c>
      <c r="B65" s="3" t="s">
        <v>29</v>
      </c>
      <c r="C65" s="3" t="s">
        <v>15</v>
      </c>
      <c r="D65" s="3" t="s">
        <v>33</v>
      </c>
      <c r="E65" s="1" t="s">
        <v>22</v>
      </c>
      <c r="F65" s="1">
        <f>129+83</f>
        <v>212</v>
      </c>
      <c r="G65" s="6">
        <f>(5*4+4*4.5)/J65</f>
        <v>4.2222222222222223</v>
      </c>
      <c r="H65" s="5">
        <v>2</v>
      </c>
      <c r="I65" s="5">
        <v>0</v>
      </c>
      <c r="J65" s="5">
        <v>9</v>
      </c>
      <c r="K65" s="4">
        <f t="shared" si="13"/>
        <v>895.11111111111109</v>
      </c>
      <c r="L65" s="4">
        <f t="shared" si="12"/>
        <v>0.32918880457910332</v>
      </c>
    </row>
    <row r="66" spans="1:12">
      <c r="A66" s="3" t="s">
        <v>34</v>
      </c>
      <c r="B66" s="3" t="s">
        <v>29</v>
      </c>
      <c r="C66" s="3" t="s">
        <v>15</v>
      </c>
      <c r="D66" s="3" t="s">
        <v>33</v>
      </c>
      <c r="E66" s="1" t="s">
        <v>23</v>
      </c>
      <c r="F66" s="1">
        <v>164</v>
      </c>
      <c r="G66" s="4">
        <v>2.6</v>
      </c>
      <c r="H66" s="5">
        <v>1</v>
      </c>
      <c r="I66" s="5">
        <v>0</v>
      </c>
      <c r="J66" s="5">
        <v>15</v>
      </c>
      <c r="K66" s="4">
        <f t="shared" si="13"/>
        <v>426.40000000000003</v>
      </c>
      <c r="L66" s="4">
        <f t="shared" si="12"/>
        <v>0.15681417036404754</v>
      </c>
    </row>
    <row r="67" spans="1:12">
      <c r="A67" s="3" t="s">
        <v>34</v>
      </c>
      <c r="B67" s="3" t="s">
        <v>29</v>
      </c>
      <c r="C67" s="3" t="s">
        <v>15</v>
      </c>
      <c r="D67" s="3" t="s">
        <v>33</v>
      </c>
      <c r="E67" s="1" t="s">
        <v>24</v>
      </c>
      <c r="F67" s="1">
        <v>166</v>
      </c>
      <c r="G67" s="5">
        <v>3</v>
      </c>
      <c r="H67" s="5">
        <v>2</v>
      </c>
      <c r="I67" s="5">
        <v>0</v>
      </c>
      <c r="J67" s="5">
        <v>13</v>
      </c>
      <c r="K67" s="4">
        <f t="shared" si="13"/>
        <v>498</v>
      </c>
      <c r="L67" s="4">
        <f t="shared" si="12"/>
        <v>0.18314600572536507</v>
      </c>
    </row>
    <row r="68" spans="1:12">
      <c r="A68" s="3" t="s">
        <v>34</v>
      </c>
      <c r="B68" s="3" t="s">
        <v>29</v>
      </c>
      <c r="C68" s="3" t="s">
        <v>15</v>
      </c>
      <c r="D68" s="3" t="s">
        <v>33</v>
      </c>
      <c r="E68" s="1" t="s">
        <v>25</v>
      </c>
      <c r="F68" s="1">
        <v>0</v>
      </c>
      <c r="G68" s="4">
        <v>0</v>
      </c>
      <c r="H68" s="5"/>
      <c r="I68" s="5"/>
      <c r="J68" s="5"/>
      <c r="K68" s="4">
        <f>F68*G68</f>
        <v>0</v>
      </c>
      <c r="L68" s="4">
        <f t="shared" si="1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IMPROMPTU Benchmark Treemap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2009-02-26T06:50:21Z</dcterms:created>
  <dcterms:modified xsi:type="dcterms:W3CDTF">2009-02-26T17:18:05Z</dcterms:modified>
</cp:coreProperties>
</file>