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212" windowHeight="8928"/>
  </bookViews>
  <sheets>
    <sheet name="ALL Infrastructures Benchmark T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00" i="1"/>
  <c r="K199"/>
  <c r="K198"/>
  <c r="G197"/>
  <c r="F197"/>
  <c r="G196"/>
  <c r="F196"/>
  <c r="K196" s="1"/>
  <c r="K195"/>
  <c r="K194"/>
  <c r="K193"/>
  <c r="K192"/>
  <c r="G191"/>
  <c r="F191"/>
  <c r="K190"/>
  <c r="K189"/>
  <c r="K188"/>
  <c r="G187"/>
  <c r="F187"/>
  <c r="K187" s="1"/>
  <c r="K186"/>
  <c r="K185"/>
  <c r="G184"/>
  <c r="F184"/>
  <c r="K184" s="1"/>
  <c r="G183"/>
  <c r="F183"/>
  <c r="K183" s="1"/>
  <c r="K182"/>
  <c r="K181"/>
  <c r="G180"/>
  <c r="F180"/>
  <c r="K180" s="1"/>
  <c r="G179"/>
  <c r="F179"/>
  <c r="K179" s="1"/>
  <c r="K178"/>
  <c r="K177"/>
  <c r="G176"/>
  <c r="F176"/>
  <c r="K176" s="1"/>
  <c r="G175"/>
  <c r="F175"/>
  <c r="K175" s="1"/>
  <c r="G174"/>
  <c r="F174"/>
  <c r="K174" s="1"/>
  <c r="G173"/>
  <c r="F173"/>
  <c r="K173" s="1"/>
  <c r="J172"/>
  <c r="G172"/>
  <c r="F172"/>
  <c r="K171"/>
  <c r="J170"/>
  <c r="G170" s="1"/>
  <c r="F170"/>
  <c r="G169"/>
  <c r="F169"/>
  <c r="K169" s="1"/>
  <c r="G168"/>
  <c r="F168"/>
  <c r="K168" s="1"/>
  <c r="K167"/>
  <c r="K166"/>
  <c r="G165"/>
  <c r="F165"/>
  <c r="K165" s="1"/>
  <c r="G164"/>
  <c r="F164"/>
  <c r="K164" s="1"/>
  <c r="G163"/>
  <c r="F163"/>
  <c r="K163" s="1"/>
  <c r="K162"/>
  <c r="G161"/>
  <c r="F161"/>
  <c r="K160"/>
  <c r="J159"/>
  <c r="G159"/>
  <c r="K159" s="1"/>
  <c r="F159"/>
  <c r="G158"/>
  <c r="F158"/>
  <c r="G157"/>
  <c r="F157"/>
  <c r="K156"/>
  <c r="K155"/>
  <c r="G154"/>
  <c r="F154"/>
  <c r="G153"/>
  <c r="F153"/>
  <c r="G152"/>
  <c r="F152"/>
  <c r="G151"/>
  <c r="F151"/>
  <c r="G150"/>
  <c r="F150"/>
  <c r="K149"/>
  <c r="J148"/>
  <c r="G148" s="1"/>
  <c r="F148"/>
  <c r="K148" s="1"/>
  <c r="J147"/>
  <c r="G147"/>
  <c r="K147" s="1"/>
  <c r="F147"/>
  <c r="G146"/>
  <c r="F146"/>
  <c r="K145"/>
  <c r="G144"/>
  <c r="F144"/>
  <c r="K144" s="1"/>
  <c r="G143"/>
  <c r="F143"/>
  <c r="K143" s="1"/>
  <c r="G142"/>
  <c r="F142"/>
  <c r="K142" s="1"/>
  <c r="G141"/>
  <c r="F141"/>
  <c r="K141" s="1"/>
  <c r="K140"/>
  <c r="G139"/>
  <c r="F139"/>
  <c r="K138"/>
  <c r="J137"/>
  <c r="G137" s="1"/>
  <c r="F137"/>
  <c r="G136"/>
  <c r="F136"/>
  <c r="K136" s="1"/>
  <c r="K135"/>
  <c r="K134"/>
  <c r="K133"/>
  <c r="G132"/>
  <c r="F132"/>
  <c r="G131"/>
  <c r="F131"/>
  <c r="G130"/>
  <c r="F130"/>
  <c r="G129"/>
  <c r="F129"/>
  <c r="K128"/>
  <c r="J127"/>
  <c r="F127"/>
  <c r="K127" s="1"/>
  <c r="K126"/>
  <c r="K125"/>
  <c r="F125"/>
  <c r="K124"/>
  <c r="K123"/>
  <c r="K122"/>
  <c r="G121"/>
  <c r="F121"/>
  <c r="K121" s="1"/>
  <c r="F120"/>
  <c r="K120" s="1"/>
  <c r="G119"/>
  <c r="F119"/>
  <c r="J118"/>
  <c r="G118" s="1"/>
  <c r="K118" s="1"/>
  <c r="F118"/>
  <c r="F117"/>
  <c r="K117" s="1"/>
  <c r="K116"/>
  <c r="K115"/>
  <c r="G114"/>
  <c r="F114"/>
  <c r="J113"/>
  <c r="G113" s="1"/>
  <c r="K113" s="1"/>
  <c r="F113"/>
  <c r="K112"/>
  <c r="K111"/>
  <c r="J110"/>
  <c r="G110" s="1"/>
  <c r="F110"/>
  <c r="K110" s="1"/>
  <c r="K109"/>
  <c r="G108"/>
  <c r="F108"/>
  <c r="G107"/>
  <c r="F107"/>
  <c r="G106"/>
  <c r="F106"/>
  <c r="K105"/>
  <c r="J104"/>
  <c r="G104"/>
  <c r="K104" s="1"/>
  <c r="G103"/>
  <c r="F103"/>
  <c r="K103" s="1"/>
  <c r="G102"/>
  <c r="F102"/>
  <c r="K102" s="1"/>
  <c r="K101"/>
  <c r="K100"/>
  <c r="J99"/>
  <c r="G99"/>
  <c r="K99" s="1"/>
  <c r="F99"/>
  <c r="K98"/>
  <c r="J97"/>
  <c r="G97" s="1"/>
  <c r="F97"/>
  <c r="G96"/>
  <c r="F96"/>
  <c r="K96" s="1"/>
  <c r="F95"/>
  <c r="K95" s="1"/>
  <c r="K94"/>
  <c r="J93"/>
  <c r="G93" s="1"/>
  <c r="K93" s="1"/>
  <c r="G92"/>
  <c r="F92"/>
  <c r="K92" s="1"/>
  <c r="G91"/>
  <c r="F91"/>
  <c r="K91" s="1"/>
  <c r="K90"/>
  <c r="K89"/>
  <c r="J88"/>
  <c r="G88" s="1"/>
  <c r="F88"/>
  <c r="K88" s="1"/>
  <c r="K87"/>
  <c r="J86"/>
  <c r="G86" s="1"/>
  <c r="K86" s="1"/>
  <c r="F86"/>
  <c r="J85"/>
  <c r="G85" s="1"/>
  <c r="F85"/>
  <c r="K85" s="1"/>
  <c r="F84"/>
  <c r="K84" s="1"/>
  <c r="K83"/>
  <c r="J82"/>
  <c r="G82" s="1"/>
  <c r="K82" s="1"/>
  <c r="G81"/>
  <c r="F81"/>
  <c r="K81" s="1"/>
  <c r="G80"/>
  <c r="F80"/>
  <c r="K80" s="1"/>
  <c r="K79"/>
  <c r="F78"/>
  <c r="K78" s="1"/>
  <c r="J77"/>
  <c r="G77"/>
  <c r="K77" s="1"/>
  <c r="F77"/>
  <c r="K76"/>
  <c r="J75"/>
  <c r="G75" s="1"/>
  <c r="F75"/>
  <c r="J74"/>
  <c r="G74"/>
  <c r="K74" s="1"/>
  <c r="F74"/>
  <c r="F73"/>
  <c r="K73" s="1"/>
  <c r="K72"/>
  <c r="J71"/>
  <c r="G71" s="1"/>
  <c r="K71" s="1"/>
  <c r="K70"/>
  <c r="K69"/>
  <c r="K106" l="1"/>
  <c r="K107"/>
  <c r="K108"/>
  <c r="K114"/>
  <c r="K119"/>
  <c r="K129"/>
  <c r="K130"/>
  <c r="K131"/>
  <c r="K132"/>
  <c r="K139"/>
  <c r="K146"/>
  <c r="K150"/>
  <c r="K151"/>
  <c r="K152"/>
  <c r="K153"/>
  <c r="K154"/>
  <c r="K157"/>
  <c r="K158"/>
  <c r="K161"/>
  <c r="K172"/>
  <c r="K191"/>
  <c r="K197"/>
  <c r="K137"/>
  <c r="K170"/>
  <c r="K75"/>
  <c r="K97"/>
  <c r="K68"/>
  <c r="K67"/>
  <c r="G66"/>
  <c r="F66"/>
  <c r="K65"/>
  <c r="J64"/>
  <c r="G64" s="1"/>
  <c r="F64"/>
  <c r="K63"/>
  <c r="K62"/>
  <c r="J61"/>
  <c r="G61"/>
  <c r="F61"/>
  <c r="K60"/>
  <c r="G59"/>
  <c r="F59"/>
  <c r="K58"/>
  <c r="K57"/>
  <c r="K56"/>
  <c r="G55"/>
  <c r="F55"/>
  <c r="F54"/>
  <c r="K54" s="1"/>
  <c r="G53"/>
  <c r="F53"/>
  <c r="G52"/>
  <c r="F52"/>
  <c r="K51"/>
  <c r="K50"/>
  <c r="K49"/>
  <c r="G48"/>
  <c r="F48"/>
  <c r="G47"/>
  <c r="F47"/>
  <c r="K46"/>
  <c r="K45"/>
  <c r="G44"/>
  <c r="F44"/>
  <c r="G43"/>
  <c r="F43"/>
  <c r="G42"/>
  <c r="F42"/>
  <c r="G41"/>
  <c r="F41"/>
  <c r="G40"/>
  <c r="F40"/>
  <c r="K39"/>
  <c r="K38"/>
  <c r="G37"/>
  <c r="F37"/>
  <c r="G36"/>
  <c r="F36"/>
  <c r="K35"/>
  <c r="K34"/>
  <c r="G33"/>
  <c r="F33"/>
  <c r="K32"/>
  <c r="G31"/>
  <c r="F31"/>
  <c r="G30"/>
  <c r="F30"/>
  <c r="K29"/>
  <c r="K28"/>
  <c r="K27"/>
  <c r="G26"/>
  <c r="F26"/>
  <c r="G25"/>
  <c r="F25"/>
  <c r="K24"/>
  <c r="K23"/>
  <c r="G22"/>
  <c r="F22"/>
  <c r="K21"/>
  <c r="G20"/>
  <c r="F20"/>
  <c r="G19"/>
  <c r="F19"/>
  <c r="K18"/>
  <c r="K17"/>
  <c r="K16"/>
  <c r="G15"/>
  <c r="F15"/>
  <c r="G14"/>
  <c r="F14"/>
  <c r="K13"/>
  <c r="K12"/>
  <c r="J11"/>
  <c r="G11" s="1"/>
  <c r="F11"/>
  <c r="K10"/>
  <c r="G9"/>
  <c r="F9"/>
  <c r="G8"/>
  <c r="F8"/>
  <c r="K7"/>
  <c r="K6"/>
  <c r="K5"/>
  <c r="K4"/>
  <c r="K3"/>
  <c r="K19" l="1"/>
  <c r="K20"/>
  <c r="K30"/>
  <c r="K31"/>
  <c r="K52"/>
  <c r="K53"/>
  <c r="K59"/>
  <c r="K61"/>
  <c r="K11"/>
  <c r="K8"/>
  <c r="K9"/>
  <c r="K14"/>
  <c r="K15"/>
  <c r="K22"/>
  <c r="K25"/>
  <c r="K26"/>
  <c r="K33"/>
  <c r="K36"/>
  <c r="K37"/>
  <c r="K40"/>
  <c r="K41"/>
  <c r="K42"/>
  <c r="K43"/>
  <c r="K44"/>
  <c r="K47"/>
  <c r="K48"/>
  <c r="K55"/>
  <c r="K66"/>
  <c r="K64"/>
</calcChain>
</file>

<file path=xl/sharedStrings.xml><?xml version="1.0" encoding="utf-8"?>
<sst xmlns="http://schemas.openxmlformats.org/spreadsheetml/2006/main" count="1012" uniqueCount="37">
  <si>
    <t>Benchmark</t>
  </si>
  <si>
    <t>Infrastructure</t>
  </si>
  <si>
    <t>Side</t>
  </si>
  <si>
    <t>CONCERN</t>
  </si>
  <si>
    <t>LOC</t>
  </si>
  <si>
    <t>CC</t>
  </si>
  <si>
    <t>#Classes</t>
  </si>
  <si>
    <t>#Interf</t>
  </si>
  <si>
    <t>#Methods</t>
  </si>
  <si>
    <t>LOC*CC</t>
  </si>
  <si>
    <t>STRING</t>
  </si>
  <si>
    <t>INTEGER</t>
  </si>
  <si>
    <t>FLOAT</t>
  </si>
  <si>
    <t>CASSIUS</t>
  </si>
  <si>
    <t>BFS</t>
  </si>
  <si>
    <t>Server</t>
  </si>
  <si>
    <t>Adaptation</t>
  </si>
  <si>
    <t>Conf &amp; Connect</t>
  </si>
  <si>
    <t>Thread &amp; Distrib</t>
  </si>
  <si>
    <t>Factory</t>
  </si>
  <si>
    <t>Event</t>
  </si>
  <si>
    <t>Notification</t>
  </si>
  <si>
    <t>Publication</t>
  </si>
  <si>
    <t>Subscription</t>
  </si>
  <si>
    <t>Routing</t>
  </si>
  <si>
    <t>Glue</t>
  </si>
  <si>
    <t>Siena</t>
  </si>
  <si>
    <t>CORBA-NS</t>
  </si>
  <si>
    <t>JavaSpaces</t>
  </si>
  <si>
    <t>YANCEES</t>
  </si>
  <si>
    <t>Client</t>
  </si>
  <si>
    <t>Type</t>
  </si>
  <si>
    <t>Accidental</t>
  </si>
  <si>
    <t>Essential</t>
  </si>
  <si>
    <t>EDEM</t>
  </si>
  <si>
    <t>IMPROMPTU</t>
  </si>
  <si>
    <t>Protocol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</si>
</sst>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Font="1"/>
    <xf numFmtId="2" fontId="0" fillId="0" borderId="0" xfId="0" applyNumberFormat="1" applyFont="1" applyBorder="1"/>
    <xf numFmtId="0" fontId="0" fillId="0" borderId="0" xfId="0" applyFont="1" applyFill="1" applyBorder="1"/>
    <xf numFmtId="2" fontId="0" fillId="0" borderId="0" xfId="0" applyNumberFormat="1" applyFont="1" applyFill="1" applyBorder="1"/>
    <xf numFmtId="0" fontId="0" fillId="0" borderId="0" xfId="0" applyBorder="1"/>
    <xf numFmtId="2" fontId="0" fillId="0" borderId="0" xfId="0" applyNumberFormat="1" applyBorder="1"/>
    <xf numFmtId="2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00"/>
  <sheetViews>
    <sheetView tabSelected="1" workbookViewId="0"/>
  </sheetViews>
  <sheetFormatPr defaultRowHeight="14.4"/>
  <cols>
    <col min="2" max="2" width="12.5546875" customWidth="1"/>
    <col min="4" max="4" width="12" customWidth="1"/>
    <col min="5" max="5" width="15.21875" customWidth="1"/>
  </cols>
  <sheetData>
    <row r="1" spans="1:11">
      <c r="A1" t="s">
        <v>0</v>
      </c>
      <c r="B1" t="s">
        <v>1</v>
      </c>
      <c r="C1" t="s">
        <v>2</v>
      </c>
      <c r="D1" t="s">
        <v>31</v>
      </c>
      <c r="E1" s="1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>
      <c r="A2" t="s">
        <v>10</v>
      </c>
      <c r="B2" t="s">
        <v>10</v>
      </c>
      <c r="C2" t="s">
        <v>10</v>
      </c>
      <c r="D2" t="s">
        <v>10</v>
      </c>
      <c r="E2" t="s">
        <v>10</v>
      </c>
      <c r="F2" t="s">
        <v>11</v>
      </c>
      <c r="G2" t="s">
        <v>12</v>
      </c>
      <c r="H2" t="s">
        <v>11</v>
      </c>
      <c r="I2" t="s">
        <v>11</v>
      </c>
      <c r="J2" t="s">
        <v>11</v>
      </c>
      <c r="K2" t="s">
        <v>12</v>
      </c>
    </row>
    <row r="3" spans="1:11">
      <c r="A3" t="s">
        <v>13</v>
      </c>
      <c r="B3" t="s">
        <v>14</v>
      </c>
      <c r="C3" t="s">
        <v>15</v>
      </c>
      <c r="D3" t="s">
        <v>32</v>
      </c>
      <c r="E3" s="3" t="s">
        <v>16</v>
      </c>
      <c r="F3" s="1">
        <v>0</v>
      </c>
      <c r="G3" s="4">
        <v>0</v>
      </c>
      <c r="H3" s="1">
        <v>0</v>
      </c>
      <c r="I3" s="5">
        <v>0</v>
      </c>
      <c r="J3" s="5">
        <v>0</v>
      </c>
      <c r="K3" s="4">
        <f>F3*G3</f>
        <v>0</v>
      </c>
    </row>
    <row r="4" spans="1:11">
      <c r="A4" t="s">
        <v>13</v>
      </c>
      <c r="B4" t="s">
        <v>14</v>
      </c>
      <c r="C4" t="s">
        <v>15</v>
      </c>
      <c r="D4" t="s">
        <v>32</v>
      </c>
      <c r="E4" s="3" t="s">
        <v>17</v>
      </c>
      <c r="F4" s="1">
        <v>31</v>
      </c>
      <c r="G4" s="4">
        <v>3.5</v>
      </c>
      <c r="H4" s="1">
        <v>1</v>
      </c>
      <c r="I4" s="5">
        <v>0</v>
      </c>
      <c r="J4" s="5">
        <v>2</v>
      </c>
      <c r="K4" s="4">
        <f t="shared" ref="K4:K10" si="0">F4*G4</f>
        <v>108.5</v>
      </c>
    </row>
    <row r="5" spans="1:11">
      <c r="A5" t="s">
        <v>13</v>
      </c>
      <c r="B5" t="s">
        <v>14</v>
      </c>
      <c r="C5" t="s">
        <v>15</v>
      </c>
      <c r="D5" t="s">
        <v>32</v>
      </c>
      <c r="E5" s="3" t="s">
        <v>18</v>
      </c>
      <c r="F5" s="1">
        <v>926</v>
      </c>
      <c r="G5" s="4">
        <v>1.9410000000000001</v>
      </c>
      <c r="H5" s="1">
        <v>9</v>
      </c>
      <c r="I5" s="1">
        <v>4</v>
      </c>
      <c r="J5" s="1">
        <v>83</v>
      </c>
      <c r="K5" s="4">
        <f t="shared" si="0"/>
        <v>1797.366</v>
      </c>
    </row>
    <row r="6" spans="1:11">
      <c r="A6" t="s">
        <v>13</v>
      </c>
      <c r="B6" t="s">
        <v>14</v>
      </c>
      <c r="C6" t="s">
        <v>15</v>
      </c>
      <c r="D6" t="s">
        <v>32</v>
      </c>
      <c r="E6" s="3" t="s">
        <v>19</v>
      </c>
      <c r="F6" s="1">
        <v>2</v>
      </c>
      <c r="G6" s="4">
        <v>1</v>
      </c>
      <c r="H6" s="1">
        <v>3</v>
      </c>
      <c r="I6" s="1">
        <v>1</v>
      </c>
      <c r="J6" s="1">
        <v>2</v>
      </c>
      <c r="K6" s="4">
        <f t="shared" si="0"/>
        <v>2</v>
      </c>
    </row>
    <row r="7" spans="1:11">
      <c r="A7" t="s">
        <v>13</v>
      </c>
      <c r="B7" t="s">
        <v>14</v>
      </c>
      <c r="C7" t="s">
        <v>15</v>
      </c>
      <c r="D7" t="s">
        <v>33</v>
      </c>
      <c r="E7" s="3" t="s">
        <v>20</v>
      </c>
      <c r="F7" s="1">
        <v>118</v>
      </c>
      <c r="G7" s="4">
        <v>1.31</v>
      </c>
      <c r="H7" s="1">
        <v>1</v>
      </c>
      <c r="I7" s="1">
        <v>1</v>
      </c>
      <c r="J7" s="1">
        <v>16</v>
      </c>
      <c r="K7" s="4">
        <f t="shared" si="0"/>
        <v>154.58000000000001</v>
      </c>
    </row>
    <row r="8" spans="1:11">
      <c r="A8" t="s">
        <v>13</v>
      </c>
      <c r="B8" t="s">
        <v>14</v>
      </c>
      <c r="C8" t="s">
        <v>15</v>
      </c>
      <c r="D8" t="s">
        <v>33</v>
      </c>
      <c r="E8" s="3" t="s">
        <v>21</v>
      </c>
      <c r="F8" s="1">
        <f>(10+12+12)+(16+18+21+1)</f>
        <v>90</v>
      </c>
      <c r="G8" s="4">
        <f>AVERAGE(3,3,3,6,5,6,1)</f>
        <v>3.8571428571428572</v>
      </c>
      <c r="H8" s="5">
        <v>3</v>
      </c>
      <c r="I8" s="5">
        <v>1</v>
      </c>
      <c r="J8" s="5">
        <v>7</v>
      </c>
      <c r="K8" s="4">
        <f t="shared" si="0"/>
        <v>347.14285714285717</v>
      </c>
    </row>
    <row r="9" spans="1:11">
      <c r="A9" t="s">
        <v>13</v>
      </c>
      <c r="B9" t="s">
        <v>14</v>
      </c>
      <c r="C9" t="s">
        <v>15</v>
      </c>
      <c r="D9" t="s">
        <v>33</v>
      </c>
      <c r="E9" t="s">
        <v>36</v>
      </c>
      <c r="F9" s="1">
        <f>(1+1+14+7+6+6+6+9+13+7+9+1+1+6)+18+18+52+62+40+5+7+7+9+8</f>
        <v>313</v>
      </c>
      <c r="G9" s="4">
        <f>(AVERAGE(1,1,3,2,2,2,2,3,3,2,3,1,1,2)*14+1.1*10+10*1+6*1.16)/J9</f>
        <v>1.8653333333333333</v>
      </c>
      <c r="H9" s="1">
        <v>4</v>
      </c>
      <c r="I9" s="1">
        <v>5</v>
      </c>
      <c r="J9" s="1">
        <v>30</v>
      </c>
      <c r="K9" s="4">
        <f t="shared" si="0"/>
        <v>583.84933333333333</v>
      </c>
    </row>
    <row r="10" spans="1:11">
      <c r="A10" t="s">
        <v>13</v>
      </c>
      <c r="B10" t="s">
        <v>14</v>
      </c>
      <c r="C10" t="s">
        <v>15</v>
      </c>
      <c r="D10" t="s">
        <v>33</v>
      </c>
      <c r="E10" s="3" t="s">
        <v>22</v>
      </c>
      <c r="F10" s="1">
        <v>8</v>
      </c>
      <c r="G10" s="4">
        <v>3</v>
      </c>
      <c r="H10" s="5">
        <v>3</v>
      </c>
      <c r="I10" s="5">
        <v>1</v>
      </c>
      <c r="J10" s="5">
        <v>1</v>
      </c>
      <c r="K10" s="4">
        <f t="shared" si="0"/>
        <v>24</v>
      </c>
    </row>
    <row r="11" spans="1:11">
      <c r="A11" t="s">
        <v>13</v>
      </c>
      <c r="B11" t="s">
        <v>14</v>
      </c>
      <c r="C11" t="s">
        <v>15</v>
      </c>
      <c r="D11" t="s">
        <v>33</v>
      </c>
      <c r="E11" s="3" t="s">
        <v>23</v>
      </c>
      <c r="F11" s="1">
        <f>(1+1+1)+(11+13+12)+7+117+5+6+186</f>
        <v>360</v>
      </c>
      <c r="G11" s="4">
        <f>(AVERAGE(4,3,5)*3+1+12*2.66+7*5.714)/J11</f>
        <v>3.6920869565217393</v>
      </c>
      <c r="H11" s="5">
        <v>4</v>
      </c>
      <c r="I11" s="5">
        <v>2</v>
      </c>
      <c r="J11" s="5">
        <f>16+7</f>
        <v>23</v>
      </c>
      <c r="K11" s="4">
        <f>F11*G11</f>
        <v>1329.1513043478262</v>
      </c>
    </row>
    <row r="12" spans="1:11">
      <c r="A12" t="s">
        <v>13</v>
      </c>
      <c r="B12" t="s">
        <v>14</v>
      </c>
      <c r="C12" t="s">
        <v>15</v>
      </c>
      <c r="D12" t="s">
        <v>33</v>
      </c>
      <c r="E12" s="3" t="s">
        <v>24</v>
      </c>
      <c r="F12" s="1">
        <v>274</v>
      </c>
      <c r="G12" s="4">
        <v>2.5670000000000002</v>
      </c>
      <c r="H12" s="5">
        <v>3</v>
      </c>
      <c r="I12" s="5">
        <v>2</v>
      </c>
      <c r="J12" s="5">
        <v>29</v>
      </c>
      <c r="K12" s="4">
        <f>F12*G12</f>
        <v>703.35800000000006</v>
      </c>
    </row>
    <row r="13" spans="1:11">
      <c r="A13" t="s">
        <v>13</v>
      </c>
      <c r="B13" t="s">
        <v>14</v>
      </c>
      <c r="C13" t="s">
        <v>15</v>
      </c>
      <c r="D13" t="s">
        <v>32</v>
      </c>
      <c r="E13" s="3" t="s">
        <v>25</v>
      </c>
      <c r="F13" s="1">
        <v>564</v>
      </c>
      <c r="G13" s="4">
        <v>2.04</v>
      </c>
      <c r="H13" s="1"/>
      <c r="I13" s="1"/>
      <c r="J13" s="1"/>
      <c r="K13" s="4">
        <f>F13*G13</f>
        <v>1150.56</v>
      </c>
    </row>
    <row r="14" spans="1:11">
      <c r="A14" t="s">
        <v>13</v>
      </c>
      <c r="B14" t="s">
        <v>26</v>
      </c>
      <c r="C14" t="s">
        <v>15</v>
      </c>
      <c r="D14" t="s">
        <v>32</v>
      </c>
      <c r="E14" s="1" t="s">
        <v>16</v>
      </c>
      <c r="F14" s="1">
        <f>117+41+197</f>
        <v>355</v>
      </c>
      <c r="G14" s="1">
        <f>(12*2.6+2*1+7*6)/J14</f>
        <v>3.008</v>
      </c>
      <c r="H14" s="1">
        <v>3</v>
      </c>
      <c r="I14" s="1">
        <v>0</v>
      </c>
      <c r="J14" s="1">
        <v>25</v>
      </c>
      <c r="K14" s="4">
        <f t="shared" ref="K14:K23" si="1">F14*G14</f>
        <v>1067.8399999999999</v>
      </c>
    </row>
    <row r="15" spans="1:11">
      <c r="A15" t="s">
        <v>13</v>
      </c>
      <c r="B15" t="s">
        <v>26</v>
      </c>
      <c r="C15" t="s">
        <v>15</v>
      </c>
      <c r="D15" t="s">
        <v>32</v>
      </c>
      <c r="E15" s="1" t="s">
        <v>17</v>
      </c>
      <c r="F15" s="1">
        <f>31+(5+6+4)+51</f>
        <v>97</v>
      </c>
      <c r="G15" s="5">
        <f>(2*3.5+3*2+2*4)/J15</f>
        <v>3</v>
      </c>
      <c r="H15" s="5">
        <v>3</v>
      </c>
      <c r="I15" s="5">
        <v>0</v>
      </c>
      <c r="J15" s="5">
        <v>7</v>
      </c>
      <c r="K15" s="4">
        <f t="shared" si="1"/>
        <v>291</v>
      </c>
    </row>
    <row r="16" spans="1:11">
      <c r="A16" t="s">
        <v>13</v>
      </c>
      <c r="B16" t="s">
        <v>26</v>
      </c>
      <c r="C16" t="s">
        <v>15</v>
      </c>
      <c r="D16" t="s">
        <v>32</v>
      </c>
      <c r="E16" s="1" t="s">
        <v>18</v>
      </c>
      <c r="F16" s="1">
        <v>926</v>
      </c>
      <c r="G16" s="4">
        <v>1.9410000000000001</v>
      </c>
      <c r="H16" s="1">
        <v>9</v>
      </c>
      <c r="I16" s="1">
        <v>4</v>
      </c>
      <c r="J16" s="1">
        <v>83</v>
      </c>
      <c r="K16" s="4">
        <f t="shared" si="1"/>
        <v>1797.366</v>
      </c>
    </row>
    <row r="17" spans="1:11">
      <c r="A17" t="s">
        <v>13</v>
      </c>
      <c r="B17" t="s">
        <v>26</v>
      </c>
      <c r="C17" t="s">
        <v>15</v>
      </c>
      <c r="D17" t="s">
        <v>32</v>
      </c>
      <c r="E17" s="1" t="s">
        <v>19</v>
      </c>
      <c r="F17" s="1">
        <v>2</v>
      </c>
      <c r="G17" s="4">
        <v>1</v>
      </c>
      <c r="H17" s="1">
        <v>3</v>
      </c>
      <c r="I17" s="1">
        <v>1</v>
      </c>
      <c r="J17" s="1">
        <v>2</v>
      </c>
      <c r="K17" s="4">
        <f t="shared" si="1"/>
        <v>2</v>
      </c>
    </row>
    <row r="18" spans="1:11">
      <c r="A18" t="s">
        <v>13</v>
      </c>
      <c r="B18" t="s">
        <v>26</v>
      </c>
      <c r="C18" t="s">
        <v>15</v>
      </c>
      <c r="D18" t="s">
        <v>33</v>
      </c>
      <c r="E18" s="1" t="s">
        <v>20</v>
      </c>
      <c r="F18" s="1">
        <v>118</v>
      </c>
      <c r="G18" s="4">
        <v>1.31</v>
      </c>
      <c r="H18" s="1">
        <v>1</v>
      </c>
      <c r="I18" s="1">
        <v>1</v>
      </c>
      <c r="J18" s="1">
        <v>16</v>
      </c>
      <c r="K18" s="4">
        <f t="shared" si="1"/>
        <v>154.58000000000001</v>
      </c>
    </row>
    <row r="19" spans="1:11">
      <c r="A19" t="s">
        <v>13</v>
      </c>
      <c r="B19" t="s">
        <v>26</v>
      </c>
      <c r="C19" t="s">
        <v>15</v>
      </c>
      <c r="D19" t="s">
        <v>33</v>
      </c>
      <c r="E19" s="1" t="s">
        <v>21</v>
      </c>
      <c r="F19" s="1">
        <f>(10+12+12)+(16+18+21+1)+(2+3)</f>
        <v>95</v>
      </c>
      <c r="G19" s="4">
        <f>AVERAGE(3,3,3,6,5,6,1,1,2)</f>
        <v>3.3333333333333335</v>
      </c>
      <c r="H19" s="5">
        <v>4</v>
      </c>
      <c r="I19" s="5">
        <v>1</v>
      </c>
      <c r="J19" s="5">
        <v>9</v>
      </c>
      <c r="K19" s="4">
        <f t="shared" si="1"/>
        <v>316.66666666666669</v>
      </c>
    </row>
    <row r="20" spans="1:11">
      <c r="A20" t="s">
        <v>13</v>
      </c>
      <c r="B20" t="s">
        <v>26</v>
      </c>
      <c r="C20" t="s">
        <v>15</v>
      </c>
      <c r="D20" t="s">
        <v>33</v>
      </c>
      <c r="E20" s="1" t="s">
        <v>36</v>
      </c>
      <c r="F20" s="1">
        <f>(1+1+14+7+6+6+6+9+13+7+9+1+1+6)+18+18+52+62+40+5+7+7+9+8</f>
        <v>313</v>
      </c>
      <c r="G20" s="4">
        <f>(AVERAGE(1,1,3,2,2,2,2,3,3,2,3,1,1,2)*14+1.1*10+10*1+6*1.16)/J20</f>
        <v>1.8653333333333333</v>
      </c>
      <c r="H20" s="1">
        <v>4</v>
      </c>
      <c r="I20" s="1">
        <v>5</v>
      </c>
      <c r="J20" s="1">
        <v>30</v>
      </c>
      <c r="K20" s="4">
        <f t="shared" si="1"/>
        <v>583.84933333333333</v>
      </c>
    </row>
    <row r="21" spans="1:11">
      <c r="A21" t="s">
        <v>13</v>
      </c>
      <c r="B21" t="s">
        <v>26</v>
      </c>
      <c r="C21" t="s">
        <v>15</v>
      </c>
      <c r="D21" t="s">
        <v>33</v>
      </c>
      <c r="E21" s="1" t="s">
        <v>22</v>
      </c>
      <c r="F21" s="1">
        <v>8</v>
      </c>
      <c r="G21" s="5">
        <v>3</v>
      </c>
      <c r="H21" s="5">
        <v>3</v>
      </c>
      <c r="I21" s="5">
        <v>1</v>
      </c>
      <c r="J21" s="5">
        <v>1</v>
      </c>
      <c r="K21" s="4">
        <f t="shared" si="1"/>
        <v>24</v>
      </c>
    </row>
    <row r="22" spans="1:11">
      <c r="A22" t="s">
        <v>13</v>
      </c>
      <c r="B22" t="s">
        <v>26</v>
      </c>
      <c r="C22" t="s">
        <v>15</v>
      </c>
      <c r="D22" t="s">
        <v>33</v>
      </c>
      <c r="E22" s="1" t="s">
        <v>23</v>
      </c>
      <c r="F22" s="1">
        <f>(1+1+1)+(11+13+12)+7+5+6</f>
        <v>57</v>
      </c>
      <c r="G22" s="4">
        <f>AVERAGE(4,3,5,1)</f>
        <v>3.25</v>
      </c>
      <c r="H22" s="5">
        <v>3</v>
      </c>
      <c r="I22" s="5">
        <v>2</v>
      </c>
      <c r="J22" s="5">
        <v>4</v>
      </c>
      <c r="K22" s="4">
        <f t="shared" si="1"/>
        <v>185.25</v>
      </c>
    </row>
    <row r="23" spans="1:11">
      <c r="A23" t="s">
        <v>13</v>
      </c>
      <c r="B23" t="s">
        <v>26</v>
      </c>
      <c r="C23" t="s">
        <v>15</v>
      </c>
      <c r="D23" t="s">
        <v>33</v>
      </c>
      <c r="E23" s="1" t="s">
        <v>24</v>
      </c>
      <c r="F23" s="1">
        <v>0</v>
      </c>
      <c r="G23" s="5">
        <v>0</v>
      </c>
      <c r="H23" s="5">
        <v>0</v>
      </c>
      <c r="I23" s="5">
        <v>0</v>
      </c>
      <c r="J23" s="5">
        <v>0</v>
      </c>
      <c r="K23" s="4">
        <f t="shared" si="1"/>
        <v>0</v>
      </c>
    </row>
    <row r="24" spans="1:11">
      <c r="A24" t="s">
        <v>13</v>
      </c>
      <c r="B24" t="s">
        <v>26</v>
      </c>
      <c r="C24" t="s">
        <v>15</v>
      </c>
      <c r="D24" t="s">
        <v>32</v>
      </c>
      <c r="E24" s="1" t="s">
        <v>25</v>
      </c>
      <c r="F24" s="1">
        <v>604</v>
      </c>
      <c r="G24" s="4">
        <v>1.95</v>
      </c>
      <c r="H24" s="1"/>
      <c r="I24" s="1"/>
      <c r="J24" s="1"/>
      <c r="K24" s="4">
        <f>F24*G24</f>
        <v>1177.8</v>
      </c>
    </row>
    <row r="25" spans="1:11">
      <c r="A25" t="s">
        <v>13</v>
      </c>
      <c r="B25" t="s">
        <v>27</v>
      </c>
      <c r="C25" t="s">
        <v>15</v>
      </c>
      <c r="D25" t="s">
        <v>32</v>
      </c>
      <c r="E25" s="1" t="s">
        <v>16</v>
      </c>
      <c r="F25" s="1">
        <f>104+216+177</f>
        <v>497</v>
      </c>
      <c r="G25" s="4">
        <f>(2*8+8*5.8+12*2.6)/J25</f>
        <v>4.254545454545454</v>
      </c>
      <c r="H25" s="1">
        <v>3</v>
      </c>
      <c r="I25" s="1">
        <v>0</v>
      </c>
      <c r="J25" s="1">
        <v>22</v>
      </c>
      <c r="K25" s="4">
        <f t="shared" ref="K25:K34" si="2">F25*G25</f>
        <v>2114.5090909090904</v>
      </c>
    </row>
    <row r="26" spans="1:11">
      <c r="A26" t="s">
        <v>13</v>
      </c>
      <c r="B26" t="s">
        <v>27</v>
      </c>
      <c r="C26" t="s">
        <v>15</v>
      </c>
      <c r="D26" t="s">
        <v>32</v>
      </c>
      <c r="E26" s="1" t="s">
        <v>17</v>
      </c>
      <c r="F26" s="1">
        <f>31+5+92</f>
        <v>128</v>
      </c>
      <c r="G26" s="6">
        <f>(2*3.5+5+2*6.5)/J26</f>
        <v>5</v>
      </c>
      <c r="H26" s="5">
        <v>3</v>
      </c>
      <c r="I26" s="5">
        <v>0</v>
      </c>
      <c r="J26" s="5">
        <v>5</v>
      </c>
      <c r="K26" s="4">
        <f t="shared" si="2"/>
        <v>640</v>
      </c>
    </row>
    <row r="27" spans="1:11">
      <c r="A27" t="s">
        <v>13</v>
      </c>
      <c r="B27" t="s">
        <v>27</v>
      </c>
      <c r="C27" t="s">
        <v>15</v>
      </c>
      <c r="D27" t="s">
        <v>32</v>
      </c>
      <c r="E27" s="1" t="s">
        <v>18</v>
      </c>
      <c r="F27" s="1">
        <v>926</v>
      </c>
      <c r="G27" s="4">
        <v>1.9410000000000001</v>
      </c>
      <c r="H27" s="1">
        <v>9</v>
      </c>
      <c r="I27" s="1">
        <v>4</v>
      </c>
      <c r="J27" s="1">
        <v>83</v>
      </c>
      <c r="K27" s="4">
        <f t="shared" si="2"/>
        <v>1797.366</v>
      </c>
    </row>
    <row r="28" spans="1:11">
      <c r="A28" t="s">
        <v>13</v>
      </c>
      <c r="B28" t="s">
        <v>27</v>
      </c>
      <c r="C28" t="s">
        <v>15</v>
      </c>
      <c r="D28" t="s">
        <v>33</v>
      </c>
      <c r="E28" s="1" t="s">
        <v>19</v>
      </c>
      <c r="F28" s="1">
        <v>2</v>
      </c>
      <c r="G28" s="4">
        <v>1</v>
      </c>
      <c r="H28" s="1">
        <v>3</v>
      </c>
      <c r="I28" s="1">
        <v>1</v>
      </c>
      <c r="J28" s="1">
        <v>2</v>
      </c>
      <c r="K28" s="4">
        <f t="shared" si="2"/>
        <v>2</v>
      </c>
    </row>
    <row r="29" spans="1:11">
      <c r="A29" t="s">
        <v>13</v>
      </c>
      <c r="B29" t="s">
        <v>27</v>
      </c>
      <c r="C29" t="s">
        <v>15</v>
      </c>
      <c r="D29" t="s">
        <v>33</v>
      </c>
      <c r="E29" s="1" t="s">
        <v>20</v>
      </c>
      <c r="F29" s="1">
        <v>118</v>
      </c>
      <c r="G29" s="4">
        <v>1.31</v>
      </c>
      <c r="H29" s="1">
        <v>1</v>
      </c>
      <c r="I29" s="1">
        <v>1</v>
      </c>
      <c r="J29" s="1">
        <v>16</v>
      </c>
      <c r="K29" s="4">
        <f t="shared" si="2"/>
        <v>154.58000000000001</v>
      </c>
    </row>
    <row r="30" spans="1:11">
      <c r="A30" t="s">
        <v>13</v>
      </c>
      <c r="B30" t="s">
        <v>27</v>
      </c>
      <c r="C30" t="s">
        <v>15</v>
      </c>
      <c r="D30" t="s">
        <v>33</v>
      </c>
      <c r="E30" s="1" t="s">
        <v>21</v>
      </c>
      <c r="F30" s="1">
        <f>(1+1+1)+(10+12+12)+(6)+(16+18+21+1)+(2+3)</f>
        <v>104</v>
      </c>
      <c r="G30" s="4">
        <f>(3*3+(6+5+6+1)+(1+2))/J30</f>
        <v>3.3333333333333335</v>
      </c>
      <c r="H30" s="5">
        <v>4</v>
      </c>
      <c r="I30" s="5">
        <v>1</v>
      </c>
      <c r="J30" s="5">
        <v>9</v>
      </c>
      <c r="K30" s="4">
        <f t="shared" si="2"/>
        <v>346.66666666666669</v>
      </c>
    </row>
    <row r="31" spans="1:11">
      <c r="A31" t="s">
        <v>13</v>
      </c>
      <c r="B31" t="s">
        <v>27</v>
      </c>
      <c r="C31" t="s">
        <v>15</v>
      </c>
      <c r="D31" t="s">
        <v>33</v>
      </c>
      <c r="E31" s="1" t="s">
        <v>36</v>
      </c>
      <c r="F31" s="1">
        <f>(1+1+14+7+6+6+6+9+13+7+9+1+1+6)+18+18+52+62+40+5+7+7+9+8</f>
        <v>313</v>
      </c>
      <c r="G31" s="4">
        <f>(AVERAGE(1,1,3,2,2,2,2,3,3,2,3,1,1,2)*14+1.1*10+10*1+6*1.16)/J31</f>
        <v>1.8653333333333333</v>
      </c>
      <c r="H31" s="1">
        <v>4</v>
      </c>
      <c r="I31" s="1">
        <v>5</v>
      </c>
      <c r="J31" s="1">
        <v>30</v>
      </c>
      <c r="K31" s="4">
        <f t="shared" si="2"/>
        <v>583.84933333333333</v>
      </c>
    </row>
    <row r="32" spans="1:11">
      <c r="A32" t="s">
        <v>13</v>
      </c>
      <c r="B32" t="s">
        <v>27</v>
      </c>
      <c r="C32" t="s">
        <v>15</v>
      </c>
      <c r="D32" t="s">
        <v>33</v>
      </c>
      <c r="E32" s="1" t="s">
        <v>22</v>
      </c>
      <c r="F32" s="1">
        <v>8</v>
      </c>
      <c r="G32" s="6">
        <v>3</v>
      </c>
      <c r="H32" s="5">
        <v>3</v>
      </c>
      <c r="I32" s="5">
        <v>1</v>
      </c>
      <c r="J32" s="5">
        <v>1</v>
      </c>
      <c r="K32" s="4">
        <f t="shared" si="2"/>
        <v>24</v>
      </c>
    </row>
    <row r="33" spans="1:11">
      <c r="A33" t="s">
        <v>13</v>
      </c>
      <c r="B33" t="s">
        <v>27</v>
      </c>
      <c r="C33" t="s">
        <v>15</v>
      </c>
      <c r="D33" t="s">
        <v>33</v>
      </c>
      <c r="E33" s="1" t="s">
        <v>23</v>
      </c>
      <c r="F33" s="1">
        <f>(1+1+1)+(11+13+12)+7+(1+1)+(1+1+1)</f>
        <v>51</v>
      </c>
      <c r="G33" s="4">
        <f>AVERAGE(4,3,5,1)</f>
        <v>3.25</v>
      </c>
      <c r="H33" s="5">
        <v>3</v>
      </c>
      <c r="I33" s="5">
        <v>2</v>
      </c>
      <c r="J33" s="5">
        <v>4</v>
      </c>
      <c r="K33" s="4">
        <f t="shared" si="2"/>
        <v>165.75</v>
      </c>
    </row>
    <row r="34" spans="1:11">
      <c r="A34" t="s">
        <v>13</v>
      </c>
      <c r="B34" t="s">
        <v>27</v>
      </c>
      <c r="C34" t="s">
        <v>15</v>
      </c>
      <c r="D34" t="s">
        <v>33</v>
      </c>
      <c r="E34" s="1" t="s">
        <v>24</v>
      </c>
      <c r="F34" s="1">
        <v>0</v>
      </c>
      <c r="G34" s="6">
        <v>0</v>
      </c>
      <c r="H34" s="5">
        <v>0</v>
      </c>
      <c r="I34" s="5">
        <v>0</v>
      </c>
      <c r="J34" s="5">
        <v>0</v>
      </c>
      <c r="K34" s="4">
        <f t="shared" si="2"/>
        <v>0</v>
      </c>
    </row>
    <row r="35" spans="1:11">
      <c r="A35" t="s">
        <v>13</v>
      </c>
      <c r="B35" t="s">
        <v>27</v>
      </c>
      <c r="C35" t="s">
        <v>15</v>
      </c>
      <c r="D35" t="s">
        <v>32</v>
      </c>
      <c r="E35" s="1" t="s">
        <v>25</v>
      </c>
      <c r="F35" s="1">
        <v>801</v>
      </c>
      <c r="G35" s="4">
        <v>2.04</v>
      </c>
      <c r="H35" s="1"/>
      <c r="I35" s="1"/>
      <c r="J35" s="1"/>
      <c r="K35" s="4">
        <f>F35*G35</f>
        <v>1634.04</v>
      </c>
    </row>
    <row r="36" spans="1:11">
      <c r="A36" t="s">
        <v>13</v>
      </c>
      <c r="B36" t="s">
        <v>28</v>
      </c>
      <c r="C36" t="s">
        <v>15</v>
      </c>
      <c r="D36" t="s">
        <v>32</v>
      </c>
      <c r="E36" s="1" t="s">
        <v>16</v>
      </c>
      <c r="F36" s="1">
        <f>177+183+31</f>
        <v>391</v>
      </c>
      <c r="G36" s="4">
        <f>(3*1.33+7*5.85+2*1)/J36</f>
        <v>3.9116666666666666</v>
      </c>
      <c r="H36" s="1">
        <v>3</v>
      </c>
      <c r="I36" s="1">
        <v>0</v>
      </c>
      <c r="J36" s="1">
        <v>12</v>
      </c>
      <c r="K36" s="4">
        <f t="shared" ref="K36:K45" si="3">F36*G36</f>
        <v>1529.4616666666666</v>
      </c>
    </row>
    <row r="37" spans="1:11">
      <c r="A37" t="s">
        <v>13</v>
      </c>
      <c r="B37" t="s">
        <v>28</v>
      </c>
      <c r="C37" t="s">
        <v>15</v>
      </c>
      <c r="D37" t="s">
        <v>32</v>
      </c>
      <c r="E37" s="1" t="s">
        <v>17</v>
      </c>
      <c r="F37" s="1">
        <f>31+(7)+25</f>
        <v>63</v>
      </c>
      <c r="G37" s="5">
        <f>(2*3.5+1*2+3*1.33)/J37</f>
        <v>2.165</v>
      </c>
      <c r="H37" s="5">
        <v>3</v>
      </c>
      <c r="I37" s="5">
        <v>0</v>
      </c>
      <c r="J37" s="5">
        <v>6</v>
      </c>
      <c r="K37" s="4">
        <f t="shared" si="3"/>
        <v>136.39500000000001</v>
      </c>
    </row>
    <row r="38" spans="1:11">
      <c r="A38" t="s">
        <v>13</v>
      </c>
      <c r="B38" t="s">
        <v>28</v>
      </c>
      <c r="C38" t="s">
        <v>15</v>
      </c>
      <c r="D38" t="s">
        <v>32</v>
      </c>
      <c r="E38" s="1" t="s">
        <v>18</v>
      </c>
      <c r="F38" s="1">
        <v>926</v>
      </c>
      <c r="G38" s="4">
        <v>1.9410000000000001</v>
      </c>
      <c r="H38" s="1">
        <v>9</v>
      </c>
      <c r="I38" s="1">
        <v>4</v>
      </c>
      <c r="J38" s="1">
        <v>83</v>
      </c>
      <c r="K38" s="4">
        <f t="shared" si="3"/>
        <v>1797.366</v>
      </c>
    </row>
    <row r="39" spans="1:11">
      <c r="A39" t="s">
        <v>13</v>
      </c>
      <c r="B39" t="s">
        <v>28</v>
      </c>
      <c r="C39" t="s">
        <v>15</v>
      </c>
      <c r="D39" t="s">
        <v>32</v>
      </c>
      <c r="E39" s="1" t="s">
        <v>19</v>
      </c>
      <c r="F39" s="1">
        <v>2</v>
      </c>
      <c r="G39" s="4">
        <v>1</v>
      </c>
      <c r="H39" s="1">
        <v>3</v>
      </c>
      <c r="I39" s="1">
        <v>1</v>
      </c>
      <c r="J39" s="1">
        <v>2</v>
      </c>
      <c r="K39" s="4">
        <f t="shared" si="3"/>
        <v>2</v>
      </c>
    </row>
    <row r="40" spans="1:11">
      <c r="A40" t="s">
        <v>13</v>
      </c>
      <c r="B40" t="s">
        <v>28</v>
      </c>
      <c r="C40" t="s">
        <v>15</v>
      </c>
      <c r="D40" t="s">
        <v>33</v>
      </c>
      <c r="E40" s="1" t="s">
        <v>20</v>
      </c>
      <c r="F40" s="1">
        <f>118+29+47</f>
        <v>194</v>
      </c>
      <c r="G40" s="4">
        <f>(16*1.3+2*2)/J40</f>
        <v>1.3777777777777778</v>
      </c>
      <c r="H40" s="5">
        <v>2</v>
      </c>
      <c r="I40" s="5">
        <v>1</v>
      </c>
      <c r="J40" s="5">
        <v>18</v>
      </c>
      <c r="K40" s="4">
        <f t="shared" si="3"/>
        <v>267.28888888888889</v>
      </c>
    </row>
    <row r="41" spans="1:11">
      <c r="A41" t="s">
        <v>13</v>
      </c>
      <c r="B41" t="s">
        <v>28</v>
      </c>
      <c r="C41" t="s">
        <v>15</v>
      </c>
      <c r="D41" t="s">
        <v>33</v>
      </c>
      <c r="E41" s="1" t="s">
        <v>21</v>
      </c>
      <c r="F41" s="1">
        <f>13+27+23</f>
        <v>63</v>
      </c>
      <c r="G41" s="4">
        <f>AVERAGE(3,10,9)</f>
        <v>7.333333333333333</v>
      </c>
      <c r="H41" s="5">
        <v>3</v>
      </c>
      <c r="I41" s="5">
        <v>0</v>
      </c>
      <c r="J41" s="5">
        <v>3</v>
      </c>
      <c r="K41" s="4">
        <f t="shared" si="3"/>
        <v>462</v>
      </c>
    </row>
    <row r="42" spans="1:11">
      <c r="A42" t="s">
        <v>13</v>
      </c>
      <c r="B42" t="s">
        <v>28</v>
      </c>
      <c r="C42" t="s">
        <v>15</v>
      </c>
      <c r="D42" t="s">
        <v>33</v>
      </c>
      <c r="E42" s="1" t="s">
        <v>36</v>
      </c>
      <c r="F42" s="1">
        <f>(1+1+14+7+6+6+6+9+13+7+9+1+1+6)+18+18+52+62+40+5+7+7+9+8</f>
        <v>313</v>
      </c>
      <c r="G42" s="4">
        <f>(AVERAGE(1,1,3,2,2,2,2,3,3,2,3,1,1,2)*14+1.1*10+10*1+6*1.16)/J42</f>
        <v>1.8653333333333333</v>
      </c>
      <c r="H42" s="1">
        <v>4</v>
      </c>
      <c r="I42" s="1">
        <v>5</v>
      </c>
      <c r="J42" s="1">
        <v>30</v>
      </c>
      <c r="K42" s="4">
        <f t="shared" si="3"/>
        <v>583.84933333333333</v>
      </c>
    </row>
    <row r="43" spans="1:11">
      <c r="A43" t="s">
        <v>13</v>
      </c>
      <c r="B43" t="s">
        <v>28</v>
      </c>
      <c r="C43" t="s">
        <v>15</v>
      </c>
      <c r="D43" t="s">
        <v>33</v>
      </c>
      <c r="E43" s="1" t="s">
        <v>22</v>
      </c>
      <c r="F43" s="1">
        <f>1+1+6+5+19</f>
        <v>32</v>
      </c>
      <c r="G43" s="6">
        <f>AVERAGE(2,2,6)</f>
        <v>3.3333333333333335</v>
      </c>
      <c r="H43" s="5">
        <v>3</v>
      </c>
      <c r="I43" s="5">
        <v>1</v>
      </c>
      <c r="J43" s="5">
        <v>3</v>
      </c>
      <c r="K43" s="4">
        <f t="shared" si="3"/>
        <v>106.66666666666667</v>
      </c>
    </row>
    <row r="44" spans="1:11">
      <c r="A44" t="s">
        <v>13</v>
      </c>
      <c r="B44" t="s">
        <v>28</v>
      </c>
      <c r="C44" t="s">
        <v>15</v>
      </c>
      <c r="D44" t="s">
        <v>33</v>
      </c>
      <c r="E44" s="1" t="s">
        <v>23</v>
      </c>
      <c r="F44" s="1">
        <f>(3)+7+(1+11+21)+137+63</f>
        <v>243</v>
      </c>
      <c r="G44" s="4">
        <f>(1+4+4+4+14*3.22+10*1.6)/J44</f>
        <v>2.6457142857142864</v>
      </c>
      <c r="H44" s="5">
        <v>5</v>
      </c>
      <c r="I44" s="5">
        <v>2</v>
      </c>
      <c r="J44" s="5">
        <v>28</v>
      </c>
      <c r="K44" s="4">
        <f t="shared" si="3"/>
        <v>642.90857142857158</v>
      </c>
    </row>
    <row r="45" spans="1:11">
      <c r="A45" t="s">
        <v>13</v>
      </c>
      <c r="B45" t="s">
        <v>28</v>
      </c>
      <c r="C45" t="s">
        <v>15</v>
      </c>
      <c r="D45" t="s">
        <v>33</v>
      </c>
      <c r="E45" s="1" t="s">
        <v>24</v>
      </c>
      <c r="F45" s="1">
        <v>0</v>
      </c>
      <c r="G45" s="5">
        <v>0</v>
      </c>
      <c r="H45" s="5">
        <v>0</v>
      </c>
      <c r="I45" s="5">
        <v>0</v>
      </c>
      <c r="J45" s="5">
        <v>0</v>
      </c>
      <c r="K45" s="4">
        <f t="shared" si="3"/>
        <v>0</v>
      </c>
    </row>
    <row r="46" spans="1:11">
      <c r="A46" t="s">
        <v>13</v>
      </c>
      <c r="B46" t="s">
        <v>28</v>
      </c>
      <c r="C46" t="s">
        <v>15</v>
      </c>
      <c r="D46" t="s">
        <v>33</v>
      </c>
      <c r="E46" s="1" t="s">
        <v>25</v>
      </c>
      <c r="F46" s="1">
        <v>478</v>
      </c>
      <c r="G46" s="4">
        <v>2.06</v>
      </c>
      <c r="H46" s="1"/>
      <c r="I46" s="1"/>
      <c r="J46" s="5"/>
      <c r="K46" s="4">
        <f>F46*G46</f>
        <v>984.68000000000006</v>
      </c>
    </row>
    <row r="47" spans="1:11">
      <c r="A47" t="s">
        <v>13</v>
      </c>
      <c r="B47" t="s">
        <v>29</v>
      </c>
      <c r="C47" t="s">
        <v>30</v>
      </c>
      <c r="D47" t="s">
        <v>32</v>
      </c>
      <c r="E47" s="1" t="s">
        <v>16</v>
      </c>
      <c r="F47" s="7">
        <f>80+37</f>
        <v>117</v>
      </c>
      <c r="G47" s="8">
        <f>(2*3+5*1.2)/J47</f>
        <v>1.7142857142857142</v>
      </c>
      <c r="H47" s="7">
        <v>2</v>
      </c>
      <c r="I47" s="7">
        <v>0</v>
      </c>
      <c r="J47" s="7">
        <v>7</v>
      </c>
      <c r="K47" s="4">
        <f t="shared" ref="K47:K48" si="4">F47*G47</f>
        <v>200.57142857142856</v>
      </c>
    </row>
    <row r="48" spans="1:11">
      <c r="A48" t="s">
        <v>13</v>
      </c>
      <c r="B48" t="s">
        <v>29</v>
      </c>
      <c r="C48" t="s">
        <v>30</v>
      </c>
      <c r="D48" t="s">
        <v>32</v>
      </c>
      <c r="E48" s="1" t="s">
        <v>17</v>
      </c>
      <c r="F48" s="7">
        <f>31+19+13+13</f>
        <v>76</v>
      </c>
      <c r="G48" s="9">
        <f>(2*3.5+3+2+1+2+3)/J48</f>
        <v>2.5714285714285716</v>
      </c>
      <c r="H48" s="10">
        <v>3</v>
      </c>
      <c r="I48" s="10">
        <v>0</v>
      </c>
      <c r="J48" s="10">
        <v>7</v>
      </c>
      <c r="K48" s="4">
        <f t="shared" si="4"/>
        <v>195.42857142857144</v>
      </c>
    </row>
    <row r="49" spans="1:11">
      <c r="A49" t="s">
        <v>13</v>
      </c>
      <c r="B49" t="s">
        <v>29</v>
      </c>
      <c r="C49" t="s">
        <v>30</v>
      </c>
      <c r="D49" t="s">
        <v>32</v>
      </c>
      <c r="E49" s="1" t="s">
        <v>18</v>
      </c>
      <c r="F49" s="1">
        <v>0</v>
      </c>
      <c r="G49" s="4">
        <v>0</v>
      </c>
      <c r="H49" s="1">
        <v>0</v>
      </c>
      <c r="I49" s="1">
        <v>0</v>
      </c>
      <c r="J49" s="5">
        <v>0</v>
      </c>
      <c r="K49" s="4">
        <f>F49*G49</f>
        <v>0</v>
      </c>
    </row>
    <row r="50" spans="1:11">
      <c r="A50" t="s">
        <v>13</v>
      </c>
      <c r="B50" t="s">
        <v>29</v>
      </c>
      <c r="C50" t="s">
        <v>30</v>
      </c>
      <c r="D50" t="s">
        <v>32</v>
      </c>
      <c r="E50" s="1" t="s">
        <v>19</v>
      </c>
      <c r="F50" s="1">
        <v>2</v>
      </c>
      <c r="G50" s="4">
        <v>1</v>
      </c>
      <c r="H50" s="1">
        <v>3</v>
      </c>
      <c r="I50" s="1">
        <v>1</v>
      </c>
      <c r="J50" s="1">
        <v>2</v>
      </c>
      <c r="K50" s="4">
        <f t="shared" ref="K50:K56" si="5">F50*G50</f>
        <v>2</v>
      </c>
    </row>
    <row r="51" spans="1:11">
      <c r="A51" t="s">
        <v>13</v>
      </c>
      <c r="B51" t="s">
        <v>29</v>
      </c>
      <c r="C51" t="s">
        <v>30</v>
      </c>
      <c r="D51" t="s">
        <v>33</v>
      </c>
      <c r="E51" s="1" t="s">
        <v>20</v>
      </c>
      <c r="F51" s="1">
        <v>118</v>
      </c>
      <c r="G51" s="4">
        <v>1.31</v>
      </c>
      <c r="H51" s="1">
        <v>1</v>
      </c>
      <c r="I51" s="1">
        <v>1</v>
      </c>
      <c r="J51" s="1">
        <v>16</v>
      </c>
      <c r="K51" s="4">
        <f t="shared" si="5"/>
        <v>154.58000000000001</v>
      </c>
    </row>
    <row r="52" spans="1:11">
      <c r="A52" t="s">
        <v>13</v>
      </c>
      <c r="B52" t="s">
        <v>29</v>
      </c>
      <c r="C52" t="s">
        <v>30</v>
      </c>
      <c r="D52" t="s">
        <v>33</v>
      </c>
      <c r="E52" s="1" t="s">
        <v>21</v>
      </c>
      <c r="F52" s="1">
        <f>1+1+5+15+15+(3+5)</f>
        <v>45</v>
      </c>
      <c r="G52" s="4">
        <f>AVERAGE(2,4,4,1,2)</f>
        <v>2.6</v>
      </c>
      <c r="H52" s="5">
        <v>2</v>
      </c>
      <c r="I52" s="5">
        <v>1</v>
      </c>
      <c r="J52" s="5">
        <v>5</v>
      </c>
      <c r="K52" s="4">
        <f t="shared" si="5"/>
        <v>117</v>
      </c>
    </row>
    <row r="53" spans="1:11">
      <c r="A53" t="s">
        <v>13</v>
      </c>
      <c r="B53" t="s">
        <v>29</v>
      </c>
      <c r="C53" t="s">
        <v>30</v>
      </c>
      <c r="D53" t="s">
        <v>33</v>
      </c>
      <c r="E53" s="1" t="s">
        <v>36</v>
      </c>
      <c r="F53" s="1">
        <f>52+62+40+5+7+7+9+8+(15+14+7+6+5+5+5+7+6+6+6+12+9+5)</f>
        <v>298</v>
      </c>
      <c r="G53" s="4">
        <f>((10*1.1+10*1+6*1.16)+4+4+2+2+2+2+2+2+2+2+2+4+3+2)/J53</f>
        <v>1.5740000000000001</v>
      </c>
      <c r="H53" s="5">
        <v>4</v>
      </c>
      <c r="I53" s="5">
        <v>5</v>
      </c>
      <c r="J53" s="5">
        <v>40</v>
      </c>
      <c r="K53" s="4">
        <f t="shared" si="5"/>
        <v>469.05200000000002</v>
      </c>
    </row>
    <row r="54" spans="1:11">
      <c r="A54" t="s">
        <v>13</v>
      </c>
      <c r="B54" t="s">
        <v>29</v>
      </c>
      <c r="C54" t="s">
        <v>30</v>
      </c>
      <c r="D54" t="s">
        <v>33</v>
      </c>
      <c r="E54" s="1" t="s">
        <v>22</v>
      </c>
      <c r="F54" s="1">
        <f>1+1+6</f>
        <v>8</v>
      </c>
      <c r="G54" s="6">
        <v>2</v>
      </c>
      <c r="H54" s="5">
        <v>2</v>
      </c>
      <c r="I54" s="5">
        <v>1</v>
      </c>
      <c r="J54" s="5">
        <v>1</v>
      </c>
      <c r="K54" s="4">
        <f t="shared" si="5"/>
        <v>16</v>
      </c>
    </row>
    <row r="55" spans="1:11">
      <c r="A55" t="s">
        <v>13</v>
      </c>
      <c r="B55" t="s">
        <v>29</v>
      </c>
      <c r="C55" t="s">
        <v>30</v>
      </c>
      <c r="D55" t="s">
        <v>33</v>
      </c>
      <c r="E55" s="1" t="s">
        <v>23</v>
      </c>
      <c r="F55" s="1">
        <f>6+6+(6+5+7)+(8+11+12)</f>
        <v>61</v>
      </c>
      <c r="G55" s="4">
        <f>(1+(2+2+3)+(2+3+3))/J55</f>
        <v>2.2857142857142856</v>
      </c>
      <c r="H55" s="5">
        <v>3</v>
      </c>
      <c r="I55" s="5">
        <v>1</v>
      </c>
      <c r="J55" s="5">
        <v>7</v>
      </c>
      <c r="K55" s="4">
        <f t="shared" si="5"/>
        <v>139.42857142857142</v>
      </c>
    </row>
    <row r="56" spans="1:11">
      <c r="A56" t="s">
        <v>13</v>
      </c>
      <c r="B56" t="s">
        <v>29</v>
      </c>
      <c r="C56" t="s">
        <v>30</v>
      </c>
      <c r="D56" t="s">
        <v>33</v>
      </c>
      <c r="E56" s="1" t="s">
        <v>24</v>
      </c>
      <c r="F56" s="1">
        <v>0</v>
      </c>
      <c r="G56" s="5">
        <v>0</v>
      </c>
      <c r="H56" s="5">
        <v>0</v>
      </c>
      <c r="I56" s="5">
        <v>0</v>
      </c>
      <c r="J56" s="5">
        <v>0</v>
      </c>
      <c r="K56" s="4">
        <f t="shared" si="5"/>
        <v>0</v>
      </c>
    </row>
    <row r="57" spans="1:11">
      <c r="A57" t="s">
        <v>13</v>
      </c>
      <c r="B57" t="s">
        <v>29</v>
      </c>
      <c r="C57" t="s">
        <v>30</v>
      </c>
      <c r="D57" t="s">
        <v>32</v>
      </c>
      <c r="E57" s="1" t="s">
        <v>25</v>
      </c>
      <c r="F57" s="1">
        <v>160</v>
      </c>
      <c r="G57" s="4">
        <v>2.0099999999999998</v>
      </c>
      <c r="H57" s="5"/>
      <c r="I57" s="5"/>
      <c r="J57" s="5"/>
      <c r="K57" s="4">
        <f>F57*G57</f>
        <v>321.59999999999997</v>
      </c>
    </row>
    <row r="58" spans="1:11">
      <c r="A58" t="s">
        <v>13</v>
      </c>
      <c r="B58" t="s">
        <v>29</v>
      </c>
      <c r="C58" t="s">
        <v>15</v>
      </c>
      <c r="D58" t="s">
        <v>32</v>
      </c>
      <c r="E58" s="1" t="s">
        <v>16</v>
      </c>
      <c r="F58" s="1">
        <v>265</v>
      </c>
      <c r="G58" s="4">
        <v>2.94</v>
      </c>
      <c r="H58" s="1">
        <v>1</v>
      </c>
      <c r="I58" s="1">
        <v>0</v>
      </c>
      <c r="J58" s="5">
        <v>19</v>
      </c>
      <c r="K58" s="4">
        <f t="shared" ref="K58:K59" si="6">F58*G58</f>
        <v>779.1</v>
      </c>
    </row>
    <row r="59" spans="1:11">
      <c r="A59" t="s">
        <v>13</v>
      </c>
      <c r="B59" t="s">
        <v>29</v>
      </c>
      <c r="C59" t="s">
        <v>15</v>
      </c>
      <c r="D59" t="s">
        <v>32</v>
      </c>
      <c r="E59" s="1" t="s">
        <v>17</v>
      </c>
      <c r="F59" s="1">
        <f>31+19+13</f>
        <v>63</v>
      </c>
      <c r="G59" s="5">
        <f>(2*3.5+1*3+1*2)/4</f>
        <v>3</v>
      </c>
      <c r="H59" s="5">
        <v>3</v>
      </c>
      <c r="I59" s="5">
        <v>0</v>
      </c>
      <c r="J59" s="5">
        <v>4</v>
      </c>
      <c r="K59" s="4">
        <f t="shared" si="6"/>
        <v>189</v>
      </c>
    </row>
    <row r="60" spans="1:11">
      <c r="A60" t="s">
        <v>13</v>
      </c>
      <c r="B60" t="s">
        <v>29</v>
      </c>
      <c r="C60" t="s">
        <v>15</v>
      </c>
      <c r="D60" t="s">
        <v>32</v>
      </c>
      <c r="E60" s="1" t="s">
        <v>18</v>
      </c>
      <c r="F60" s="1">
        <v>0</v>
      </c>
      <c r="G60" s="4">
        <v>0</v>
      </c>
      <c r="H60" s="1">
        <v>0</v>
      </c>
      <c r="I60" s="1">
        <v>0</v>
      </c>
      <c r="J60" s="5">
        <v>0</v>
      </c>
      <c r="K60" s="4">
        <f>F60*G60</f>
        <v>0</v>
      </c>
    </row>
    <row r="61" spans="1:11">
      <c r="A61" t="s">
        <v>13</v>
      </c>
      <c r="B61" t="s">
        <v>29</v>
      </c>
      <c r="C61" t="s">
        <v>15</v>
      </c>
      <c r="D61" t="s">
        <v>32</v>
      </c>
      <c r="E61" s="1" t="s">
        <v>19</v>
      </c>
      <c r="F61" s="1">
        <f>27+26+26</f>
        <v>79</v>
      </c>
      <c r="G61" s="4">
        <f>AVERAGE(1,1.5,1)</f>
        <v>1.1666666666666667</v>
      </c>
      <c r="H61" s="5">
        <v>3</v>
      </c>
      <c r="I61" s="5">
        <v>0</v>
      </c>
      <c r="J61" s="1">
        <f>4+2+4</f>
        <v>10</v>
      </c>
      <c r="K61" s="4">
        <f t="shared" ref="K61:K67" si="7">F61*G61</f>
        <v>92.166666666666671</v>
      </c>
    </row>
    <row r="62" spans="1:11">
      <c r="A62" t="s">
        <v>13</v>
      </c>
      <c r="B62" t="s">
        <v>29</v>
      </c>
      <c r="C62" t="s">
        <v>15</v>
      </c>
      <c r="D62" t="s">
        <v>33</v>
      </c>
      <c r="E62" s="1" t="s">
        <v>20</v>
      </c>
      <c r="F62" s="1">
        <v>0</v>
      </c>
      <c r="G62" s="4">
        <v>0</v>
      </c>
      <c r="H62" s="5">
        <v>0</v>
      </c>
      <c r="I62" s="5">
        <v>0</v>
      </c>
      <c r="J62" s="5">
        <v>0</v>
      </c>
      <c r="K62" s="4">
        <f t="shared" si="7"/>
        <v>0</v>
      </c>
    </row>
    <row r="63" spans="1:11">
      <c r="A63" t="s">
        <v>13</v>
      </c>
      <c r="B63" t="s">
        <v>29</v>
      </c>
      <c r="C63" t="s">
        <v>15</v>
      </c>
      <c r="D63" t="s">
        <v>33</v>
      </c>
      <c r="E63" s="1" t="s">
        <v>21</v>
      </c>
      <c r="F63" s="1">
        <v>107</v>
      </c>
      <c r="G63" s="4">
        <v>3</v>
      </c>
      <c r="H63" s="5">
        <v>3</v>
      </c>
      <c r="I63" s="5">
        <v>0</v>
      </c>
      <c r="J63" s="5">
        <v>7</v>
      </c>
      <c r="K63" s="4">
        <f t="shared" si="7"/>
        <v>321</v>
      </c>
    </row>
    <row r="64" spans="1:11">
      <c r="A64" t="s">
        <v>13</v>
      </c>
      <c r="B64" t="s">
        <v>29</v>
      </c>
      <c r="C64" t="s">
        <v>15</v>
      </c>
      <c r="D64" t="s">
        <v>33</v>
      </c>
      <c r="E64" s="1" t="s">
        <v>36</v>
      </c>
      <c r="F64" s="1">
        <f>364+8+9+156+46</f>
        <v>583</v>
      </c>
      <c r="G64" s="4">
        <f>(39*1.974+18*2.61)/J64</f>
        <v>2.1748421052631581</v>
      </c>
      <c r="H64" s="5">
        <v>5</v>
      </c>
      <c r="I64" s="5">
        <v>3</v>
      </c>
      <c r="J64" s="5">
        <f>18+39</f>
        <v>57</v>
      </c>
      <c r="K64" s="4">
        <f t="shared" si="7"/>
        <v>1267.9329473684211</v>
      </c>
    </row>
    <row r="65" spans="1:11">
      <c r="A65" t="s">
        <v>13</v>
      </c>
      <c r="B65" t="s">
        <v>29</v>
      </c>
      <c r="C65" t="s">
        <v>15</v>
      </c>
      <c r="D65" t="s">
        <v>33</v>
      </c>
      <c r="E65" s="1" t="s">
        <v>22</v>
      </c>
      <c r="F65" s="1">
        <v>7</v>
      </c>
      <c r="G65" s="6">
        <v>2</v>
      </c>
      <c r="H65" s="5">
        <v>1</v>
      </c>
      <c r="I65" s="5">
        <v>0</v>
      </c>
      <c r="J65" s="5">
        <v>1</v>
      </c>
      <c r="K65" s="4">
        <f t="shared" si="7"/>
        <v>14</v>
      </c>
    </row>
    <row r="66" spans="1:11">
      <c r="A66" t="s">
        <v>13</v>
      </c>
      <c r="B66" t="s">
        <v>29</v>
      </c>
      <c r="C66" t="s">
        <v>15</v>
      </c>
      <c r="D66" t="s">
        <v>33</v>
      </c>
      <c r="E66" s="1" t="s">
        <v>23</v>
      </c>
      <c r="F66" s="1">
        <f>7+2+3+15+5+5</f>
        <v>37</v>
      </c>
      <c r="G66" s="4">
        <f>AVERAGE(2,1,3,4,2,2)</f>
        <v>2.3333333333333335</v>
      </c>
      <c r="H66" s="5">
        <v>2</v>
      </c>
      <c r="I66" s="5">
        <v>0</v>
      </c>
      <c r="J66" s="5">
        <v>6</v>
      </c>
      <c r="K66" s="4">
        <f t="shared" si="7"/>
        <v>86.333333333333343</v>
      </c>
    </row>
    <row r="67" spans="1:11">
      <c r="A67" t="s">
        <v>13</v>
      </c>
      <c r="B67" t="s">
        <v>29</v>
      </c>
      <c r="C67" t="s">
        <v>15</v>
      </c>
      <c r="D67" t="s">
        <v>33</v>
      </c>
      <c r="E67" s="1" t="s">
        <v>24</v>
      </c>
      <c r="F67" s="1">
        <v>0</v>
      </c>
      <c r="G67" s="5">
        <v>0</v>
      </c>
      <c r="H67" s="5">
        <v>0</v>
      </c>
      <c r="I67" s="5">
        <v>0</v>
      </c>
      <c r="J67" s="5">
        <v>0</v>
      </c>
      <c r="K67" s="4">
        <f t="shared" si="7"/>
        <v>0</v>
      </c>
    </row>
    <row r="68" spans="1:11">
      <c r="A68" t="s">
        <v>13</v>
      </c>
      <c r="B68" t="s">
        <v>29</v>
      </c>
      <c r="C68" t="s">
        <v>15</v>
      </c>
      <c r="D68" t="s">
        <v>33</v>
      </c>
      <c r="E68" s="1" t="s">
        <v>25</v>
      </c>
      <c r="F68" s="1">
        <v>0</v>
      </c>
      <c r="G68" s="4">
        <v>0</v>
      </c>
      <c r="H68" s="5">
        <v>0</v>
      </c>
      <c r="I68" s="5">
        <v>0</v>
      </c>
      <c r="J68" s="5">
        <v>0</v>
      </c>
      <c r="K68" s="4">
        <f>F68*G68</f>
        <v>0</v>
      </c>
    </row>
    <row r="69" spans="1:11">
      <c r="A69" t="s">
        <v>34</v>
      </c>
      <c r="B69" t="s">
        <v>14</v>
      </c>
      <c r="C69" t="s">
        <v>15</v>
      </c>
      <c r="D69" t="s">
        <v>32</v>
      </c>
      <c r="E69" s="3" t="s">
        <v>16</v>
      </c>
      <c r="F69" s="1">
        <v>0</v>
      </c>
      <c r="G69" s="4">
        <v>0</v>
      </c>
      <c r="H69" s="1">
        <v>0</v>
      </c>
      <c r="I69" s="1">
        <v>0</v>
      </c>
      <c r="J69" s="1">
        <v>0</v>
      </c>
      <c r="K69" s="4">
        <f>F69*G69</f>
        <v>0</v>
      </c>
    </row>
    <row r="70" spans="1:11">
      <c r="A70" t="s">
        <v>34</v>
      </c>
      <c r="B70" t="s">
        <v>14</v>
      </c>
      <c r="C70" t="s">
        <v>15</v>
      </c>
      <c r="D70" t="s">
        <v>32</v>
      </c>
      <c r="E70" s="3" t="s">
        <v>17</v>
      </c>
      <c r="F70" s="1">
        <v>0</v>
      </c>
      <c r="G70" s="4">
        <v>0</v>
      </c>
      <c r="H70" s="1">
        <v>0</v>
      </c>
      <c r="I70" s="1">
        <v>0</v>
      </c>
      <c r="J70" s="1">
        <v>0</v>
      </c>
      <c r="K70" s="4">
        <f t="shared" ref="K70:K78" si="8">F70*G70</f>
        <v>0</v>
      </c>
    </row>
    <row r="71" spans="1:11">
      <c r="A71" t="s">
        <v>34</v>
      </c>
      <c r="B71" t="s">
        <v>14</v>
      </c>
      <c r="C71" t="s">
        <v>15</v>
      </c>
      <c r="D71" t="s">
        <v>32</v>
      </c>
      <c r="E71" s="3" t="s">
        <v>18</v>
      </c>
      <c r="F71" s="1">
        <v>662</v>
      </c>
      <c r="G71" s="4">
        <f>SUM(26*2.5+5*1.2+19*2.3)/J71</f>
        <v>2.2939999999999996</v>
      </c>
      <c r="H71" s="1">
        <v>4</v>
      </c>
      <c r="I71" s="1">
        <v>2</v>
      </c>
      <c r="J71" s="1">
        <f>26+19+5</f>
        <v>50</v>
      </c>
      <c r="K71" s="4">
        <f t="shared" si="8"/>
        <v>1518.6279999999997</v>
      </c>
    </row>
    <row r="72" spans="1:11">
      <c r="A72" t="s">
        <v>34</v>
      </c>
      <c r="B72" t="s">
        <v>14</v>
      </c>
      <c r="C72" t="s">
        <v>15</v>
      </c>
      <c r="D72" t="s">
        <v>32</v>
      </c>
      <c r="E72" s="3" t="s">
        <v>19</v>
      </c>
      <c r="F72" s="1">
        <v>9</v>
      </c>
      <c r="G72" s="4">
        <v>3</v>
      </c>
      <c r="H72" s="1">
        <v>1</v>
      </c>
      <c r="I72" s="1">
        <v>1</v>
      </c>
      <c r="J72" s="1">
        <v>3</v>
      </c>
      <c r="K72" s="4">
        <f t="shared" si="8"/>
        <v>27</v>
      </c>
    </row>
    <row r="73" spans="1:11">
      <c r="A73" t="s">
        <v>34</v>
      </c>
      <c r="B73" t="s">
        <v>14</v>
      </c>
      <c r="C73" t="s">
        <v>15</v>
      </c>
      <c r="D73" t="s">
        <v>33</v>
      </c>
      <c r="E73" s="3" t="s">
        <v>20</v>
      </c>
      <c r="F73" s="1">
        <f>49+13</f>
        <v>62</v>
      </c>
      <c r="G73" s="4">
        <v>1.3</v>
      </c>
      <c r="H73" s="1">
        <v>1</v>
      </c>
      <c r="I73" s="1">
        <v>1</v>
      </c>
      <c r="J73" s="1">
        <v>10</v>
      </c>
      <c r="K73" s="4">
        <f t="shared" si="8"/>
        <v>80.600000000000009</v>
      </c>
    </row>
    <row r="74" spans="1:11">
      <c r="A74" t="s">
        <v>34</v>
      </c>
      <c r="B74" t="s">
        <v>14</v>
      </c>
      <c r="C74" t="s">
        <v>15</v>
      </c>
      <c r="D74" t="s">
        <v>33</v>
      </c>
      <c r="E74" s="3" t="s">
        <v>21</v>
      </c>
      <c r="F74" s="1">
        <f>81+89+118+5+16+4+5+4+5+18+13+6</f>
        <v>364</v>
      </c>
      <c r="G74" s="4">
        <f>SUM(11*1.9,9*1.9,10*2, 6*2)/J74</f>
        <v>2.2580645161290325</v>
      </c>
      <c r="H74" s="1">
        <v>3</v>
      </c>
      <c r="I74" s="1">
        <v>8</v>
      </c>
      <c r="J74" s="1">
        <f>11+9+10+1</f>
        <v>31</v>
      </c>
      <c r="K74" s="4">
        <f t="shared" si="8"/>
        <v>821.9354838709678</v>
      </c>
    </row>
    <row r="75" spans="1:11">
      <c r="A75" t="s">
        <v>34</v>
      </c>
      <c r="B75" t="s">
        <v>14</v>
      </c>
      <c r="C75" t="s">
        <v>15</v>
      </c>
      <c r="D75" t="s">
        <v>33</v>
      </c>
      <c r="E75" s="3" t="s">
        <v>36</v>
      </c>
      <c r="F75" s="1">
        <f>(3+9+3+3+3)+22+62+6+8+4+6+11+59+64+10+29+98</f>
        <v>400</v>
      </c>
      <c r="G75" s="4">
        <f>SUM(2.3*5,2.12*8,8*2,2.8*5,2,6,9*2.3)/J75</f>
        <v>2.0269767441860469</v>
      </c>
      <c r="H75" s="1">
        <v>7</v>
      </c>
      <c r="I75" s="1">
        <v>6</v>
      </c>
      <c r="J75" s="1">
        <f>5+8+8+5+2+6+9</f>
        <v>43</v>
      </c>
      <c r="K75" s="4">
        <f t="shared" si="8"/>
        <v>810.79069767441877</v>
      </c>
    </row>
    <row r="76" spans="1:11">
      <c r="A76" t="s">
        <v>34</v>
      </c>
      <c r="B76" t="s">
        <v>14</v>
      </c>
      <c r="C76" t="s">
        <v>15</v>
      </c>
      <c r="D76" t="s">
        <v>33</v>
      </c>
      <c r="E76" s="3" t="s">
        <v>22</v>
      </c>
      <c r="F76" s="1">
        <v>1</v>
      </c>
      <c r="G76" s="4">
        <v>1</v>
      </c>
      <c r="H76" s="1">
        <v>2</v>
      </c>
      <c r="I76" s="1">
        <v>1</v>
      </c>
      <c r="J76" s="1">
        <v>1</v>
      </c>
      <c r="K76" s="4">
        <f t="shared" si="8"/>
        <v>1</v>
      </c>
    </row>
    <row r="77" spans="1:11">
      <c r="A77" t="s">
        <v>34</v>
      </c>
      <c r="B77" t="s">
        <v>14</v>
      </c>
      <c r="C77" t="s">
        <v>15</v>
      </c>
      <c r="D77" t="s">
        <v>33</v>
      </c>
      <c r="E77" s="3" t="s">
        <v>23</v>
      </c>
      <c r="F77" s="1">
        <f>56+(26)+76+107+7+22+4+4+12+7+10+6+(2+5+6)+128+27+73+73+96</f>
        <v>747</v>
      </c>
      <c r="G77" s="4">
        <f>SUM(8*2.5+9*2.9+12*2.5+8*1.5+10*3.6+3+(3)*2.12+9*2.78+7*2.43,9*1.3)/J77</f>
        <v>2.3998717948717947</v>
      </c>
      <c r="H77" s="1">
        <v>10</v>
      </c>
      <c r="I77" s="1">
        <v>8</v>
      </c>
      <c r="J77" s="1">
        <f>8+9+12+8+10+3+(3)+9+7+9</f>
        <v>78</v>
      </c>
      <c r="K77" s="4">
        <f t="shared" si="8"/>
        <v>1792.7042307692307</v>
      </c>
    </row>
    <row r="78" spans="1:11">
      <c r="A78" t="s">
        <v>34</v>
      </c>
      <c r="B78" t="s">
        <v>14</v>
      </c>
      <c r="C78" t="s">
        <v>15</v>
      </c>
      <c r="D78" t="s">
        <v>33</v>
      </c>
      <c r="E78" s="3" t="s">
        <v>24</v>
      </c>
      <c r="F78" s="1">
        <f>72+7+5</f>
        <v>84</v>
      </c>
      <c r="G78" s="4">
        <v>2.29</v>
      </c>
      <c r="H78" s="1">
        <v>1</v>
      </c>
      <c r="I78" s="1">
        <v>2</v>
      </c>
      <c r="J78" s="1">
        <v>6</v>
      </c>
      <c r="K78" s="4">
        <f t="shared" si="8"/>
        <v>192.36</v>
      </c>
    </row>
    <row r="79" spans="1:11">
      <c r="A79" t="s">
        <v>34</v>
      </c>
      <c r="B79" t="s">
        <v>14</v>
      </c>
      <c r="C79" t="s">
        <v>15</v>
      </c>
      <c r="D79" t="s">
        <v>32</v>
      </c>
      <c r="E79" s="3" t="s">
        <v>25</v>
      </c>
      <c r="F79" s="1">
        <v>283</v>
      </c>
      <c r="G79" s="4">
        <v>2.11</v>
      </c>
      <c r="H79" s="1"/>
      <c r="I79" s="1"/>
      <c r="J79" s="1"/>
      <c r="K79" s="4">
        <f>F79*G79</f>
        <v>597.13</v>
      </c>
    </row>
    <row r="80" spans="1:11">
      <c r="A80" t="s">
        <v>34</v>
      </c>
      <c r="B80" t="s">
        <v>26</v>
      </c>
      <c r="C80" t="s">
        <v>15</v>
      </c>
      <c r="D80" t="s">
        <v>32</v>
      </c>
      <c r="E80" s="1" t="s">
        <v>16</v>
      </c>
      <c r="F80" s="1">
        <f>26+29</f>
        <v>55</v>
      </c>
      <c r="G80" s="1">
        <f>(2*1+4*1)/J80</f>
        <v>2</v>
      </c>
      <c r="H80" s="1">
        <v>2</v>
      </c>
      <c r="I80" s="1">
        <v>0</v>
      </c>
      <c r="J80" s="1">
        <v>3</v>
      </c>
      <c r="K80" s="4">
        <f t="shared" ref="K80:K89" si="9">F80*G80</f>
        <v>110</v>
      </c>
    </row>
    <row r="81" spans="1:11">
      <c r="A81" t="s">
        <v>34</v>
      </c>
      <c r="B81" t="s">
        <v>26</v>
      </c>
      <c r="C81" t="s">
        <v>15</v>
      </c>
      <c r="D81" t="s">
        <v>32</v>
      </c>
      <c r="E81" s="1" t="s">
        <v>17</v>
      </c>
      <c r="F81" s="1">
        <f>21+5</f>
        <v>26</v>
      </c>
      <c r="G81" s="5">
        <f>(3+2)/2</f>
        <v>2.5</v>
      </c>
      <c r="H81" s="5">
        <v>1</v>
      </c>
      <c r="I81" s="5">
        <v>0</v>
      </c>
      <c r="J81" s="5">
        <v>1</v>
      </c>
      <c r="K81" s="4">
        <f t="shared" si="9"/>
        <v>65</v>
      </c>
    </row>
    <row r="82" spans="1:11">
      <c r="A82" t="s">
        <v>34</v>
      </c>
      <c r="B82" t="s">
        <v>26</v>
      </c>
      <c r="C82" t="s">
        <v>15</v>
      </c>
      <c r="D82" t="s">
        <v>32</v>
      </c>
      <c r="E82" s="1" t="s">
        <v>18</v>
      </c>
      <c r="F82" s="1">
        <v>662</v>
      </c>
      <c r="G82" s="4">
        <f>SUM(26*2.5+5*1.2+19*2.3)/J82</f>
        <v>2.2939999999999996</v>
      </c>
      <c r="H82" s="1">
        <v>4</v>
      </c>
      <c r="I82" s="1">
        <v>2</v>
      </c>
      <c r="J82" s="1">
        <f>26+19+5</f>
        <v>50</v>
      </c>
      <c r="K82" s="4">
        <f t="shared" si="9"/>
        <v>1518.6279999999997</v>
      </c>
    </row>
    <row r="83" spans="1:11">
      <c r="A83" t="s">
        <v>34</v>
      </c>
      <c r="B83" t="s">
        <v>26</v>
      </c>
      <c r="C83" t="s">
        <v>15</v>
      </c>
      <c r="D83" t="s">
        <v>32</v>
      </c>
      <c r="E83" s="1" t="s">
        <v>19</v>
      </c>
      <c r="F83" s="1">
        <v>9</v>
      </c>
      <c r="G83" s="4">
        <v>3</v>
      </c>
      <c r="H83" s="1">
        <v>1</v>
      </c>
      <c r="I83" s="1">
        <v>1</v>
      </c>
      <c r="J83" s="1">
        <v>3</v>
      </c>
      <c r="K83" s="4">
        <f t="shared" si="9"/>
        <v>27</v>
      </c>
    </row>
    <row r="84" spans="1:11">
      <c r="A84" t="s">
        <v>34</v>
      </c>
      <c r="B84" t="s">
        <v>26</v>
      </c>
      <c r="C84" t="s">
        <v>15</v>
      </c>
      <c r="D84" t="s">
        <v>33</v>
      </c>
      <c r="E84" s="1" t="s">
        <v>20</v>
      </c>
      <c r="F84" s="1">
        <f>49+13</f>
        <v>62</v>
      </c>
      <c r="G84" s="4">
        <v>1.3</v>
      </c>
      <c r="H84" s="1">
        <v>1</v>
      </c>
      <c r="I84" s="1">
        <v>1</v>
      </c>
      <c r="J84" s="1">
        <v>10</v>
      </c>
      <c r="K84" s="4">
        <f t="shared" si="9"/>
        <v>80.600000000000009</v>
      </c>
    </row>
    <row r="85" spans="1:11">
      <c r="A85" t="s">
        <v>34</v>
      </c>
      <c r="B85" t="s">
        <v>26</v>
      </c>
      <c r="C85" t="s">
        <v>15</v>
      </c>
      <c r="D85" t="s">
        <v>33</v>
      </c>
      <c r="E85" s="1" t="s">
        <v>21</v>
      </c>
      <c r="F85" s="1">
        <f>81+89+118+5+16+4+5+4+5+18+13+(7+9)</f>
        <v>374</v>
      </c>
      <c r="G85" s="4">
        <f>SUM(11*1.9,9*1.9,10*2,2*2.5)/J85</f>
        <v>1.96875</v>
      </c>
      <c r="H85" s="1">
        <v>4</v>
      </c>
      <c r="I85" s="1">
        <v>8</v>
      </c>
      <c r="J85" s="1">
        <f>11+9+10+2</f>
        <v>32</v>
      </c>
      <c r="K85" s="4">
        <f t="shared" si="9"/>
        <v>736.3125</v>
      </c>
    </row>
    <row r="86" spans="1:11">
      <c r="A86" t="s">
        <v>34</v>
      </c>
      <c r="B86" t="s">
        <v>26</v>
      </c>
      <c r="C86" t="s">
        <v>15</v>
      </c>
      <c r="D86" t="s">
        <v>33</v>
      </c>
      <c r="E86" s="1" t="s">
        <v>36</v>
      </c>
      <c r="F86" s="1">
        <f>(3+9+3+3+3)+22+62+6+8+4+6+11+59+64+10+29+98</f>
        <v>400</v>
      </c>
      <c r="G86" s="4">
        <f>SUM(2.3*5,2.12*8,8*2,2.8*5,2,6,9*2.3)/J86</f>
        <v>2.0269767441860469</v>
      </c>
      <c r="H86" s="1">
        <v>7</v>
      </c>
      <c r="I86" s="1">
        <v>6</v>
      </c>
      <c r="J86" s="1">
        <f>5+8+8+5+2+6+9</f>
        <v>43</v>
      </c>
      <c r="K86" s="4">
        <f t="shared" si="9"/>
        <v>810.79069767441877</v>
      </c>
    </row>
    <row r="87" spans="1:11">
      <c r="A87" t="s">
        <v>34</v>
      </c>
      <c r="B87" t="s">
        <v>26</v>
      </c>
      <c r="C87" t="s">
        <v>15</v>
      </c>
      <c r="D87" t="s">
        <v>33</v>
      </c>
      <c r="E87" s="1" t="s">
        <v>22</v>
      </c>
      <c r="F87" s="1">
        <v>8</v>
      </c>
      <c r="G87" s="5">
        <v>2</v>
      </c>
      <c r="H87" s="5">
        <v>2</v>
      </c>
      <c r="I87" s="5">
        <v>1</v>
      </c>
      <c r="J87" s="5">
        <v>1</v>
      </c>
      <c r="K87" s="4">
        <f t="shared" si="9"/>
        <v>16</v>
      </c>
    </row>
    <row r="88" spans="1:11">
      <c r="A88" t="s">
        <v>34</v>
      </c>
      <c r="B88" t="s">
        <v>26</v>
      </c>
      <c r="C88" t="s">
        <v>15</v>
      </c>
      <c r="D88" t="s">
        <v>33</v>
      </c>
      <c r="E88" s="1" t="s">
        <v>23</v>
      </c>
      <c r="F88" s="1">
        <f>56+(26)+230+107+7+22+4+4+12+7+10+6+128+27+73+(11+5+12)+96</f>
        <v>843</v>
      </c>
      <c r="G88" s="4">
        <f>SUM(8*2.25,28*1.9,12*2.25,10*3.6,3,8*2.13,9*1.78,8*2,9*1.3)/J88</f>
        <v>1.9407843137254901</v>
      </c>
      <c r="H88" s="5">
        <v>9</v>
      </c>
      <c r="I88" s="5">
        <v>8</v>
      </c>
      <c r="J88" s="1">
        <f>8+28+12+10+3+8+9+8+7+9</f>
        <v>102</v>
      </c>
      <c r="K88" s="4">
        <f t="shared" si="9"/>
        <v>1636.0811764705882</v>
      </c>
    </row>
    <row r="89" spans="1:11">
      <c r="A89" t="s">
        <v>34</v>
      </c>
      <c r="B89" t="s">
        <v>26</v>
      </c>
      <c r="C89" t="s">
        <v>15</v>
      </c>
      <c r="D89" t="s">
        <v>33</v>
      </c>
      <c r="E89" s="1" t="s">
        <v>24</v>
      </c>
      <c r="F89" s="1">
        <v>0</v>
      </c>
      <c r="G89" s="5">
        <v>0</v>
      </c>
      <c r="H89" s="5">
        <v>0</v>
      </c>
      <c r="I89" s="5">
        <v>0</v>
      </c>
      <c r="J89" s="1">
        <v>0</v>
      </c>
      <c r="K89" s="4">
        <f t="shared" si="9"/>
        <v>0</v>
      </c>
    </row>
    <row r="90" spans="1:11">
      <c r="A90" t="s">
        <v>34</v>
      </c>
      <c r="B90" t="s">
        <v>26</v>
      </c>
      <c r="C90" t="s">
        <v>15</v>
      </c>
      <c r="D90" t="s">
        <v>32</v>
      </c>
      <c r="E90" s="1" t="s">
        <v>25</v>
      </c>
      <c r="F90" s="1">
        <v>269</v>
      </c>
      <c r="G90" s="4">
        <v>2.13</v>
      </c>
      <c r="H90" s="1"/>
      <c r="I90" s="1"/>
      <c r="J90" s="1"/>
      <c r="K90" s="4">
        <f>F90*G90</f>
        <v>572.97</v>
      </c>
    </row>
    <row r="91" spans="1:11">
      <c r="A91" t="s">
        <v>34</v>
      </c>
      <c r="B91" t="s">
        <v>27</v>
      </c>
      <c r="C91" t="s">
        <v>15</v>
      </c>
      <c r="D91" t="s">
        <v>32</v>
      </c>
      <c r="E91" s="1" t="s">
        <v>16</v>
      </c>
      <c r="F91" s="1">
        <f>21+25+32</f>
        <v>78</v>
      </c>
      <c r="G91" s="1">
        <f>(1+7+7)/3</f>
        <v>5</v>
      </c>
      <c r="H91" s="1">
        <v>3</v>
      </c>
      <c r="I91" s="1">
        <v>0</v>
      </c>
      <c r="J91" s="1">
        <v>3</v>
      </c>
      <c r="K91" s="4">
        <f t="shared" ref="K91:K100" si="10">F91*G91</f>
        <v>390</v>
      </c>
    </row>
    <row r="92" spans="1:11">
      <c r="A92" t="s">
        <v>34</v>
      </c>
      <c r="B92" t="s">
        <v>27</v>
      </c>
      <c r="C92" t="s">
        <v>15</v>
      </c>
      <c r="D92" t="s">
        <v>32</v>
      </c>
      <c r="E92" s="1" t="s">
        <v>17</v>
      </c>
      <c r="F92" s="1">
        <f>(92+6+5+5)</f>
        <v>108</v>
      </c>
      <c r="G92" s="5">
        <f>(6+7+2+2+1)/5</f>
        <v>3.6</v>
      </c>
      <c r="H92" s="5">
        <v>2</v>
      </c>
      <c r="I92" s="5">
        <v>0</v>
      </c>
      <c r="J92" s="5">
        <v>5</v>
      </c>
      <c r="K92" s="4">
        <f t="shared" si="10"/>
        <v>388.8</v>
      </c>
    </row>
    <row r="93" spans="1:11">
      <c r="A93" t="s">
        <v>34</v>
      </c>
      <c r="B93" t="s">
        <v>27</v>
      </c>
      <c r="C93" t="s">
        <v>15</v>
      </c>
      <c r="D93" t="s">
        <v>32</v>
      </c>
      <c r="E93" s="1" t="s">
        <v>18</v>
      </c>
      <c r="F93" s="1">
        <v>662</v>
      </c>
      <c r="G93" s="4">
        <f>SUM(26*2.5+5*1.2+19*2.3)/J93</f>
        <v>2.2939999999999996</v>
      </c>
      <c r="H93" s="1">
        <v>4</v>
      </c>
      <c r="I93" s="1">
        <v>2</v>
      </c>
      <c r="J93" s="1">
        <f>26+19+5</f>
        <v>50</v>
      </c>
      <c r="K93" s="4">
        <f t="shared" si="10"/>
        <v>1518.6279999999997</v>
      </c>
    </row>
    <row r="94" spans="1:11">
      <c r="A94" t="s">
        <v>34</v>
      </c>
      <c r="B94" t="s">
        <v>27</v>
      </c>
      <c r="C94" t="s">
        <v>15</v>
      </c>
      <c r="D94" t="s">
        <v>33</v>
      </c>
      <c r="E94" s="1" t="s">
        <v>19</v>
      </c>
      <c r="F94" s="1">
        <v>9</v>
      </c>
      <c r="G94" s="4">
        <v>3</v>
      </c>
      <c r="H94" s="1">
        <v>1</v>
      </c>
      <c r="I94" s="1">
        <v>1</v>
      </c>
      <c r="J94" s="1">
        <v>3</v>
      </c>
      <c r="K94" s="4">
        <f t="shared" si="10"/>
        <v>27</v>
      </c>
    </row>
    <row r="95" spans="1:11">
      <c r="A95" t="s">
        <v>34</v>
      </c>
      <c r="B95" t="s">
        <v>27</v>
      </c>
      <c r="C95" t="s">
        <v>15</v>
      </c>
      <c r="D95" t="s">
        <v>33</v>
      </c>
      <c r="E95" s="1" t="s">
        <v>20</v>
      </c>
      <c r="F95" s="1">
        <f>49+13</f>
        <v>62</v>
      </c>
      <c r="G95" s="4">
        <v>1.3</v>
      </c>
      <c r="H95" s="1">
        <v>1</v>
      </c>
      <c r="I95" s="1">
        <v>1</v>
      </c>
      <c r="J95" s="1">
        <v>10</v>
      </c>
      <c r="K95" s="4">
        <f t="shared" si="10"/>
        <v>80.600000000000009</v>
      </c>
    </row>
    <row r="96" spans="1:11">
      <c r="A96" t="s">
        <v>34</v>
      </c>
      <c r="B96" t="s">
        <v>27</v>
      </c>
      <c r="C96" t="s">
        <v>15</v>
      </c>
      <c r="D96" t="s">
        <v>33</v>
      </c>
      <c r="E96" s="1" t="s">
        <v>21</v>
      </c>
      <c r="F96" s="1">
        <f>81+89+118+5+16+4+5+4+5+18+13+(8+1)</f>
        <v>367</v>
      </c>
      <c r="G96" s="4">
        <f>SUM(11*1.9,9*1.9,1,2)/22</f>
        <v>1.8636363636363635</v>
      </c>
      <c r="H96" s="1">
        <v>5</v>
      </c>
      <c r="I96" s="1">
        <v>8</v>
      </c>
      <c r="J96" s="1">
        <v>22</v>
      </c>
      <c r="K96" s="4">
        <f t="shared" si="10"/>
        <v>683.95454545454538</v>
      </c>
    </row>
    <row r="97" spans="1:11">
      <c r="A97" t="s">
        <v>34</v>
      </c>
      <c r="B97" t="s">
        <v>27</v>
      </c>
      <c r="C97" t="s">
        <v>15</v>
      </c>
      <c r="D97" t="s">
        <v>33</v>
      </c>
      <c r="E97" s="1" t="s">
        <v>36</v>
      </c>
      <c r="F97" s="1">
        <f>(3+9+3+3+3)+22+62+6+8+4+6+11+59+64+10+29+98</f>
        <v>400</v>
      </c>
      <c r="G97" s="4">
        <f>SUM(2.3*5,2.12*8,8*2,2.8*5,2,6,9*2.3)/J97</f>
        <v>2.0269767441860469</v>
      </c>
      <c r="H97" s="1">
        <v>7</v>
      </c>
      <c r="I97" s="1">
        <v>6</v>
      </c>
      <c r="J97" s="1">
        <f>5+8+8+5+2+6+9</f>
        <v>43</v>
      </c>
      <c r="K97" s="4">
        <f t="shared" si="10"/>
        <v>810.79069767441877</v>
      </c>
    </row>
    <row r="98" spans="1:11">
      <c r="A98" t="s">
        <v>34</v>
      </c>
      <c r="B98" t="s">
        <v>27</v>
      </c>
      <c r="C98" t="s">
        <v>15</v>
      </c>
      <c r="D98" t="s">
        <v>33</v>
      </c>
      <c r="E98" s="1" t="s">
        <v>22</v>
      </c>
      <c r="F98" s="1">
        <v>9</v>
      </c>
      <c r="G98" s="6">
        <v>3</v>
      </c>
      <c r="H98" s="5">
        <v>2</v>
      </c>
      <c r="I98" s="5">
        <v>1</v>
      </c>
      <c r="J98" s="5">
        <v>3</v>
      </c>
      <c r="K98" s="4">
        <f t="shared" si="10"/>
        <v>27</v>
      </c>
    </row>
    <row r="99" spans="1:11">
      <c r="A99" t="s">
        <v>34</v>
      </c>
      <c r="B99" t="s">
        <v>27</v>
      </c>
      <c r="C99" t="s">
        <v>15</v>
      </c>
      <c r="D99" t="s">
        <v>33</v>
      </c>
      <c r="E99" s="1" t="s">
        <v>23</v>
      </c>
      <c r="F99" s="1">
        <f>56+(10+10+10+10+8+7+7+7+8)+(80+5+5)+(26)+107+7+22+4+4+12+7+10+6+128+27+73+73+96+55</f>
        <v>880</v>
      </c>
      <c r="G99" s="4">
        <f>SUM(8*2.5,4+4+4+4+2+2+2+2+2,7*2.85,12*2.5,10*2.3,3*1,8*2.12,9*1.78,7*2.42,6*1.28,9*1.3)/J99</f>
        <v>2.1732954545454546</v>
      </c>
      <c r="H99" s="5">
        <v>10</v>
      </c>
      <c r="I99" s="5">
        <v>8</v>
      </c>
      <c r="J99" s="5">
        <f>79+9</f>
        <v>88</v>
      </c>
      <c r="K99" s="4">
        <f t="shared" si="10"/>
        <v>1912.5</v>
      </c>
    </row>
    <row r="100" spans="1:11">
      <c r="A100" t="s">
        <v>34</v>
      </c>
      <c r="B100" t="s">
        <v>27</v>
      </c>
      <c r="C100" t="s">
        <v>15</v>
      </c>
      <c r="D100" t="s">
        <v>33</v>
      </c>
      <c r="E100" s="1" t="s">
        <v>24</v>
      </c>
      <c r="F100" s="1">
        <v>0</v>
      </c>
      <c r="G100" s="5">
        <v>0</v>
      </c>
      <c r="H100" s="5">
        <v>0</v>
      </c>
      <c r="I100" s="5">
        <v>0</v>
      </c>
      <c r="J100" s="1">
        <v>0</v>
      </c>
      <c r="K100" s="4">
        <f t="shared" si="10"/>
        <v>0</v>
      </c>
    </row>
    <row r="101" spans="1:11">
      <c r="A101" t="s">
        <v>34</v>
      </c>
      <c r="B101" t="s">
        <v>27</v>
      </c>
      <c r="C101" t="s">
        <v>15</v>
      </c>
      <c r="D101" t="s">
        <v>32</v>
      </c>
      <c r="E101" s="1" t="s">
        <v>25</v>
      </c>
      <c r="F101" s="1">
        <v>374</v>
      </c>
      <c r="G101" s="4">
        <v>2.17</v>
      </c>
      <c r="H101" s="1"/>
      <c r="I101" s="1"/>
      <c r="J101" s="1"/>
      <c r="K101" s="4">
        <f>F101*G101</f>
        <v>811.57999999999993</v>
      </c>
    </row>
    <row r="102" spans="1:11">
      <c r="A102" t="s">
        <v>34</v>
      </c>
      <c r="B102" t="s">
        <v>28</v>
      </c>
      <c r="C102" t="s">
        <v>15</v>
      </c>
      <c r="D102" t="s">
        <v>32</v>
      </c>
      <c r="E102" s="1" t="s">
        <v>16</v>
      </c>
      <c r="F102" s="1">
        <f>21+27</f>
        <v>48</v>
      </c>
      <c r="G102" s="4">
        <f>(1+1+3)/J102</f>
        <v>1.6666666666666667</v>
      </c>
      <c r="H102" s="1">
        <v>2</v>
      </c>
      <c r="I102" s="1">
        <v>0</v>
      </c>
      <c r="J102" s="1">
        <v>3</v>
      </c>
      <c r="K102" s="4">
        <f t="shared" ref="K102:K111" si="11">F102*G102</f>
        <v>80</v>
      </c>
    </row>
    <row r="103" spans="1:11">
      <c r="A103" t="s">
        <v>34</v>
      </c>
      <c r="B103" t="s">
        <v>28</v>
      </c>
      <c r="C103" t="s">
        <v>15</v>
      </c>
      <c r="D103" t="s">
        <v>32</v>
      </c>
      <c r="E103" s="1" t="s">
        <v>17</v>
      </c>
      <c r="F103" s="1">
        <f>7+25</f>
        <v>32</v>
      </c>
      <c r="G103" s="5">
        <f>(2+1+1+2)/J103</f>
        <v>1.5</v>
      </c>
      <c r="H103" s="5">
        <v>2</v>
      </c>
      <c r="I103" s="5">
        <v>0</v>
      </c>
      <c r="J103" s="5">
        <v>4</v>
      </c>
      <c r="K103" s="4">
        <f t="shared" si="11"/>
        <v>48</v>
      </c>
    </row>
    <row r="104" spans="1:11">
      <c r="A104" t="s">
        <v>34</v>
      </c>
      <c r="B104" t="s">
        <v>28</v>
      </c>
      <c r="C104" t="s">
        <v>15</v>
      </c>
      <c r="D104" t="s">
        <v>32</v>
      </c>
      <c r="E104" s="1" t="s">
        <v>18</v>
      </c>
      <c r="F104" s="1">
        <v>662</v>
      </c>
      <c r="G104" s="4">
        <f>SUM(26*2.5+5*1.2+19*2.3)/J104</f>
        <v>2.2939999999999996</v>
      </c>
      <c r="H104" s="1">
        <v>4</v>
      </c>
      <c r="I104" s="1">
        <v>2</v>
      </c>
      <c r="J104" s="1">
        <f>26+19+5</f>
        <v>50</v>
      </c>
      <c r="K104" s="4">
        <f t="shared" si="11"/>
        <v>1518.6279999999997</v>
      </c>
    </row>
    <row r="105" spans="1:11">
      <c r="A105" t="s">
        <v>34</v>
      </c>
      <c r="B105" t="s">
        <v>28</v>
      </c>
      <c r="C105" t="s">
        <v>15</v>
      </c>
      <c r="D105" t="s">
        <v>32</v>
      </c>
      <c r="E105" s="1" t="s">
        <v>19</v>
      </c>
      <c r="F105" s="1">
        <v>9</v>
      </c>
      <c r="G105" s="4">
        <v>3</v>
      </c>
      <c r="H105" s="1">
        <v>1</v>
      </c>
      <c r="I105" s="1">
        <v>1</v>
      </c>
      <c r="J105" s="1">
        <v>3</v>
      </c>
      <c r="K105" s="4">
        <f t="shared" si="11"/>
        <v>27</v>
      </c>
    </row>
    <row r="106" spans="1:11">
      <c r="A106" t="s">
        <v>34</v>
      </c>
      <c r="B106" t="s">
        <v>28</v>
      </c>
      <c r="C106" t="s">
        <v>15</v>
      </c>
      <c r="D106" t="s">
        <v>33</v>
      </c>
      <c r="E106" s="1" t="s">
        <v>20</v>
      </c>
      <c r="F106" s="1">
        <f>49+13+14</f>
        <v>76</v>
      </c>
      <c r="G106" s="4">
        <f>(10*1.3+2*1)/J106</f>
        <v>1.3636363636363635</v>
      </c>
      <c r="H106" s="5">
        <v>2</v>
      </c>
      <c r="I106" s="5">
        <v>1</v>
      </c>
      <c r="J106" s="5">
        <v>11</v>
      </c>
      <c r="K106" s="4">
        <f t="shared" si="11"/>
        <v>103.63636363636363</v>
      </c>
    </row>
    <row r="107" spans="1:11">
      <c r="A107" t="s">
        <v>34</v>
      </c>
      <c r="B107" t="s">
        <v>28</v>
      </c>
      <c r="C107" t="s">
        <v>15</v>
      </c>
      <c r="D107" t="s">
        <v>33</v>
      </c>
      <c r="E107" s="1" t="s">
        <v>21</v>
      </c>
      <c r="F107" s="1">
        <f>81+89+5+16+4+5+5+4+18+5+13+(7+15)+28+118</f>
        <v>413</v>
      </c>
      <c r="G107" s="4">
        <f>SUM(11*1.9,9*1.9,2+5,3*1,10*2)/J107</f>
        <v>1.9428571428571428</v>
      </c>
      <c r="H107" s="5">
        <v>5</v>
      </c>
      <c r="I107" s="5">
        <v>9</v>
      </c>
      <c r="J107" s="5">
        <v>35</v>
      </c>
      <c r="K107" s="4">
        <f t="shared" si="11"/>
        <v>802.4</v>
      </c>
    </row>
    <row r="108" spans="1:11">
      <c r="A108" t="s">
        <v>34</v>
      </c>
      <c r="B108" t="s">
        <v>28</v>
      </c>
      <c r="C108" t="s">
        <v>15</v>
      </c>
      <c r="D108" t="s">
        <v>33</v>
      </c>
      <c r="E108" s="1" t="s">
        <v>36</v>
      </c>
      <c r="F108" s="1">
        <f>3+22+22+14+10+10+178+26</f>
        <v>285</v>
      </c>
      <c r="G108" s="4">
        <f>SUM(1,7,6,4,5,12*3.6,5*1)/J108</f>
        <v>3.2363636363636363</v>
      </c>
      <c r="H108" s="1">
        <v>4</v>
      </c>
      <c r="I108" s="1">
        <v>1</v>
      </c>
      <c r="J108" s="1">
        <v>22</v>
      </c>
      <c r="K108" s="4">
        <f t="shared" si="11"/>
        <v>922.36363636363637</v>
      </c>
    </row>
    <row r="109" spans="1:11">
      <c r="A109" t="s">
        <v>34</v>
      </c>
      <c r="B109" t="s">
        <v>28</v>
      </c>
      <c r="C109" t="s">
        <v>15</v>
      </c>
      <c r="D109" t="s">
        <v>33</v>
      </c>
      <c r="E109" s="1" t="s">
        <v>22</v>
      </c>
      <c r="F109" s="1">
        <v>8</v>
      </c>
      <c r="G109" s="6">
        <v>3</v>
      </c>
      <c r="H109" s="5">
        <v>2</v>
      </c>
      <c r="I109" s="5">
        <v>1</v>
      </c>
      <c r="J109" s="5">
        <v>1</v>
      </c>
      <c r="K109" s="4">
        <f t="shared" si="11"/>
        <v>24</v>
      </c>
    </row>
    <row r="110" spans="1:11">
      <c r="A110" t="s">
        <v>34</v>
      </c>
      <c r="B110" t="s">
        <v>28</v>
      </c>
      <c r="C110" t="s">
        <v>15</v>
      </c>
      <c r="D110" t="s">
        <v>33</v>
      </c>
      <c r="E110" s="1" t="s">
        <v>23</v>
      </c>
      <c r="F110" s="1">
        <f>56+(10+10+10+10+8+7+7+7+8)+(26)+107+7+22+4+4+12+7+10+6+118+128+27+73+73+96</f>
        <v>853</v>
      </c>
      <c r="G110" s="4">
        <f>SUM(8*2.25,4+4+4+4+2+2+2+2+2+2,12*2.25,10*2.3,10*3.6,3*1,8*2.12,9*2.78,7*2.4,9*1.3)/J110</f>
        <v>2.3893023255813954</v>
      </c>
      <c r="H110" s="5">
        <v>9</v>
      </c>
      <c r="I110" s="5">
        <v>8</v>
      </c>
      <c r="J110" s="5">
        <f>77+9</f>
        <v>86</v>
      </c>
      <c r="K110" s="4">
        <f t="shared" si="11"/>
        <v>2038.0748837209303</v>
      </c>
    </row>
    <row r="111" spans="1:11">
      <c r="A111" t="s">
        <v>34</v>
      </c>
      <c r="B111" t="s">
        <v>28</v>
      </c>
      <c r="C111" t="s">
        <v>15</v>
      </c>
      <c r="D111" t="s">
        <v>33</v>
      </c>
      <c r="E111" s="1" t="s">
        <v>24</v>
      </c>
      <c r="F111" s="1">
        <v>0</v>
      </c>
      <c r="G111" s="5">
        <v>0</v>
      </c>
      <c r="H111" s="5">
        <v>0</v>
      </c>
      <c r="I111" s="5">
        <v>0</v>
      </c>
      <c r="J111" s="1">
        <v>0</v>
      </c>
      <c r="K111" s="4">
        <f t="shared" si="11"/>
        <v>0</v>
      </c>
    </row>
    <row r="112" spans="1:11">
      <c r="A112" t="s">
        <v>34</v>
      </c>
      <c r="B112" t="s">
        <v>28</v>
      </c>
      <c r="C112" t="s">
        <v>15</v>
      </c>
      <c r="D112" t="s">
        <v>33</v>
      </c>
      <c r="E112" s="1" t="s">
        <v>25</v>
      </c>
      <c r="F112" s="1">
        <v>612</v>
      </c>
      <c r="G112" s="4">
        <v>2.14</v>
      </c>
      <c r="H112" s="1"/>
      <c r="I112" s="1"/>
      <c r="J112" s="1"/>
      <c r="K112" s="4">
        <f>F112*G112</f>
        <v>1309.68</v>
      </c>
    </row>
    <row r="113" spans="1:11">
      <c r="A113" t="s">
        <v>34</v>
      </c>
      <c r="B113" t="s">
        <v>29</v>
      </c>
      <c r="C113" t="s">
        <v>30</v>
      </c>
      <c r="D113" t="s">
        <v>32</v>
      </c>
      <c r="E113" s="1" t="s">
        <v>16</v>
      </c>
      <c r="F113" s="1">
        <f>81+85</f>
        <v>166</v>
      </c>
      <c r="G113" s="4">
        <f>(6*2.17+5*3.6)/J113</f>
        <v>2.82</v>
      </c>
      <c r="H113" s="1">
        <v>2</v>
      </c>
      <c r="I113" s="1">
        <v>0</v>
      </c>
      <c r="J113" s="1">
        <f>5+6</f>
        <v>11</v>
      </c>
      <c r="K113" s="4">
        <f t="shared" ref="K113:K114" si="12">F113*G113</f>
        <v>468.11999999999995</v>
      </c>
    </row>
    <row r="114" spans="1:11">
      <c r="A114" t="s">
        <v>34</v>
      </c>
      <c r="B114" t="s">
        <v>29</v>
      </c>
      <c r="C114" t="s">
        <v>30</v>
      </c>
      <c r="D114" t="s">
        <v>32</v>
      </c>
      <c r="E114" s="1" t="s">
        <v>17</v>
      </c>
      <c r="F114" s="1">
        <f>16+9</f>
        <v>25</v>
      </c>
      <c r="G114" s="5">
        <f>(2+3)/2</f>
        <v>2.5</v>
      </c>
      <c r="H114" s="5">
        <v>2</v>
      </c>
      <c r="I114" s="5">
        <v>0</v>
      </c>
      <c r="J114" s="5">
        <v>2</v>
      </c>
      <c r="K114" s="4">
        <f t="shared" si="12"/>
        <v>62.5</v>
      </c>
    </row>
    <row r="115" spans="1:11">
      <c r="A115" t="s">
        <v>34</v>
      </c>
      <c r="B115" t="s">
        <v>29</v>
      </c>
      <c r="C115" t="s">
        <v>30</v>
      </c>
      <c r="D115" t="s">
        <v>32</v>
      </c>
      <c r="E115" s="1" t="s">
        <v>18</v>
      </c>
      <c r="F115" s="1">
        <v>0</v>
      </c>
      <c r="G115" s="4">
        <v>0</v>
      </c>
      <c r="H115" s="1">
        <v>0</v>
      </c>
      <c r="I115" s="1">
        <v>0</v>
      </c>
      <c r="J115" s="1">
        <v>0</v>
      </c>
      <c r="K115" s="4">
        <f>F115*G115</f>
        <v>0</v>
      </c>
    </row>
    <row r="116" spans="1:11">
      <c r="A116" t="s">
        <v>34</v>
      </c>
      <c r="B116" t="s">
        <v>29</v>
      </c>
      <c r="C116" t="s">
        <v>30</v>
      </c>
      <c r="D116" t="s">
        <v>32</v>
      </c>
      <c r="E116" s="1" t="s">
        <v>19</v>
      </c>
      <c r="F116" s="1">
        <v>9</v>
      </c>
      <c r="G116" s="4">
        <v>3</v>
      </c>
      <c r="H116" s="1">
        <v>1</v>
      </c>
      <c r="I116" s="1">
        <v>1</v>
      </c>
      <c r="J116" s="1">
        <v>3</v>
      </c>
      <c r="K116" s="4">
        <f t="shared" ref="K116:K122" si="13">F116*G116</f>
        <v>27</v>
      </c>
    </row>
    <row r="117" spans="1:11">
      <c r="A117" t="s">
        <v>34</v>
      </c>
      <c r="B117" t="s">
        <v>29</v>
      </c>
      <c r="C117" t="s">
        <v>30</v>
      </c>
      <c r="D117" t="s">
        <v>33</v>
      </c>
      <c r="E117" s="1" t="s">
        <v>20</v>
      </c>
      <c r="F117" s="1">
        <f>49+13</f>
        <v>62</v>
      </c>
      <c r="G117" s="4">
        <v>1.3</v>
      </c>
      <c r="H117" s="1">
        <v>1</v>
      </c>
      <c r="I117" s="1">
        <v>1</v>
      </c>
      <c r="J117" s="1">
        <v>10</v>
      </c>
      <c r="K117" s="4">
        <f t="shared" si="13"/>
        <v>80.600000000000009</v>
      </c>
    </row>
    <row r="118" spans="1:11">
      <c r="A118" t="s">
        <v>34</v>
      </c>
      <c r="B118" t="s">
        <v>29</v>
      </c>
      <c r="C118" t="s">
        <v>30</v>
      </c>
      <c r="D118" t="s">
        <v>33</v>
      </c>
      <c r="E118" s="1" t="s">
        <v>21</v>
      </c>
      <c r="F118" s="1">
        <f>81+89+5+16+4+5+4+18+5+13+33</f>
        <v>273</v>
      </c>
      <c r="G118" s="4">
        <f>SUM(11*1.9,9*1.9,10*2,9*1.5)/J118</f>
        <v>1.8333333333333333</v>
      </c>
      <c r="H118" s="5">
        <v>4</v>
      </c>
      <c r="I118" s="5">
        <v>8</v>
      </c>
      <c r="J118" s="5">
        <f>11+9+10+9</f>
        <v>39</v>
      </c>
      <c r="K118" s="4">
        <f t="shared" si="13"/>
        <v>500.5</v>
      </c>
    </row>
    <row r="119" spans="1:11">
      <c r="A119" t="s">
        <v>34</v>
      </c>
      <c r="B119" t="s">
        <v>29</v>
      </c>
      <c r="C119" t="s">
        <v>30</v>
      </c>
      <c r="D119" t="s">
        <v>33</v>
      </c>
      <c r="E119" s="1" t="s">
        <v>36</v>
      </c>
      <c r="F119" s="1">
        <f>5+8+4+6+11+7+15+10+29+(9+9+5+5+5)+8</f>
        <v>136</v>
      </c>
      <c r="G119" s="4">
        <f>(2*1+6*1+3+3+2+2+2+5*1)/J119</f>
        <v>1.3888888888888888</v>
      </c>
      <c r="H119" s="5">
        <v>4</v>
      </c>
      <c r="I119" s="5">
        <v>7</v>
      </c>
      <c r="J119" s="5">
        <v>18</v>
      </c>
      <c r="K119" s="4">
        <f t="shared" si="13"/>
        <v>188.88888888888889</v>
      </c>
    </row>
    <row r="120" spans="1:11">
      <c r="A120" t="s">
        <v>34</v>
      </c>
      <c r="B120" t="s">
        <v>29</v>
      </c>
      <c r="C120" t="s">
        <v>30</v>
      </c>
      <c r="D120" t="s">
        <v>33</v>
      </c>
      <c r="E120" s="1" t="s">
        <v>22</v>
      </c>
      <c r="F120" s="1">
        <f>1+6</f>
        <v>7</v>
      </c>
      <c r="G120" s="6">
        <v>2</v>
      </c>
      <c r="H120" s="5">
        <v>1</v>
      </c>
      <c r="I120" s="5">
        <v>1</v>
      </c>
      <c r="J120" s="5">
        <v>1</v>
      </c>
      <c r="K120" s="4">
        <f t="shared" si="13"/>
        <v>14</v>
      </c>
    </row>
    <row r="121" spans="1:11">
      <c r="A121" t="s">
        <v>34</v>
      </c>
      <c r="B121" t="s">
        <v>29</v>
      </c>
      <c r="C121" t="s">
        <v>30</v>
      </c>
      <c r="D121" t="s">
        <v>33</v>
      </c>
      <c r="E121" s="1" t="s">
        <v>23</v>
      </c>
      <c r="F121" s="1">
        <f>26+71+7+22+4+4+12+7+10+6+68+28+46+60+45+(13+14+1+1+1+24+12+1+1+1+13)</f>
        <v>498</v>
      </c>
      <c r="G121" s="4">
        <f>(4*1+12*1.5+10*1.4+6*1+9*1+10*1.5+6*1.17+(3+4+1+1+1+6+3+1+1+1+4))/J121</f>
        <v>1.4561764705882352</v>
      </c>
      <c r="H121" s="5">
        <v>10</v>
      </c>
      <c r="I121" s="5">
        <v>8</v>
      </c>
      <c r="J121" s="5">
        <v>68</v>
      </c>
      <c r="K121" s="4">
        <f t="shared" si="13"/>
        <v>725.17588235294113</v>
      </c>
    </row>
    <row r="122" spans="1:11">
      <c r="A122" t="s">
        <v>34</v>
      </c>
      <c r="B122" t="s">
        <v>29</v>
      </c>
      <c r="C122" t="s">
        <v>30</v>
      </c>
      <c r="D122" t="s">
        <v>33</v>
      </c>
      <c r="E122" s="1" t="s">
        <v>24</v>
      </c>
      <c r="F122" s="1">
        <v>0</v>
      </c>
      <c r="G122" s="5">
        <v>0</v>
      </c>
      <c r="H122" s="5">
        <v>0</v>
      </c>
      <c r="I122" s="5">
        <v>0</v>
      </c>
      <c r="J122" s="1">
        <v>0</v>
      </c>
      <c r="K122" s="4">
        <f t="shared" si="13"/>
        <v>0</v>
      </c>
    </row>
    <row r="123" spans="1:11">
      <c r="A123" t="s">
        <v>34</v>
      </c>
      <c r="B123" t="s">
        <v>29</v>
      </c>
      <c r="C123" t="s">
        <v>30</v>
      </c>
      <c r="D123" t="s">
        <v>32</v>
      </c>
      <c r="E123" s="1" t="s">
        <v>25</v>
      </c>
      <c r="F123" s="1">
        <v>468</v>
      </c>
      <c r="G123" s="4">
        <v>1.68</v>
      </c>
      <c r="H123" s="1"/>
      <c r="I123" s="1"/>
      <c r="J123" s="1"/>
      <c r="K123" s="4">
        <f>F123*G123</f>
        <v>786.24</v>
      </c>
    </row>
    <row r="124" spans="1:11">
      <c r="A124" t="s">
        <v>34</v>
      </c>
      <c r="B124" t="s">
        <v>29</v>
      </c>
      <c r="C124" t="s">
        <v>15</v>
      </c>
      <c r="D124" t="s">
        <v>32</v>
      </c>
      <c r="E124" s="1" t="s">
        <v>16</v>
      </c>
      <c r="F124" s="1">
        <v>0</v>
      </c>
      <c r="G124" s="4">
        <v>0</v>
      </c>
      <c r="H124" s="1">
        <v>0</v>
      </c>
      <c r="I124" s="1">
        <v>0</v>
      </c>
      <c r="J124" s="5">
        <v>0</v>
      </c>
      <c r="K124" s="4">
        <f t="shared" ref="K124:K125" si="14">F124*G124</f>
        <v>0</v>
      </c>
    </row>
    <row r="125" spans="1:11">
      <c r="A125" t="s">
        <v>34</v>
      </c>
      <c r="B125" t="s">
        <v>29</v>
      </c>
      <c r="C125" t="s">
        <v>15</v>
      </c>
      <c r="D125" t="s">
        <v>32</v>
      </c>
      <c r="E125" s="1" t="s">
        <v>17</v>
      </c>
      <c r="F125" s="1">
        <f>19+6</f>
        <v>25</v>
      </c>
      <c r="G125" s="5"/>
      <c r="H125" s="5">
        <v>2</v>
      </c>
      <c r="I125" s="5">
        <v>0</v>
      </c>
      <c r="J125" s="5">
        <v>2</v>
      </c>
      <c r="K125" s="4">
        <f t="shared" si="14"/>
        <v>0</v>
      </c>
    </row>
    <row r="126" spans="1:11">
      <c r="A126" t="s">
        <v>34</v>
      </c>
      <c r="B126" t="s">
        <v>29</v>
      </c>
      <c r="C126" t="s">
        <v>15</v>
      </c>
      <c r="D126" t="s">
        <v>32</v>
      </c>
      <c r="E126" s="1" t="s">
        <v>18</v>
      </c>
      <c r="F126" s="1">
        <v>0</v>
      </c>
      <c r="G126" s="4">
        <v>0</v>
      </c>
      <c r="H126" s="1">
        <v>0</v>
      </c>
      <c r="I126" s="1">
        <v>0</v>
      </c>
      <c r="J126" s="1">
        <v>0</v>
      </c>
      <c r="K126" s="4">
        <f>F126*G126</f>
        <v>0</v>
      </c>
    </row>
    <row r="127" spans="1:11">
      <c r="A127" t="s">
        <v>34</v>
      </c>
      <c r="B127" t="s">
        <v>29</v>
      </c>
      <c r="C127" t="s">
        <v>15</v>
      </c>
      <c r="D127" t="s">
        <v>32</v>
      </c>
      <c r="E127" s="1" t="s">
        <v>19</v>
      </c>
      <c r="F127" s="1">
        <f>28*6</f>
        <v>168</v>
      </c>
      <c r="G127" s="4">
        <v>1</v>
      </c>
      <c r="H127" s="1">
        <v>6</v>
      </c>
      <c r="I127" s="1">
        <v>0</v>
      </c>
      <c r="J127" s="1">
        <f>4*6</f>
        <v>24</v>
      </c>
      <c r="K127" s="4">
        <f t="shared" ref="K127:K133" si="15">F127*G127</f>
        <v>168</v>
      </c>
    </row>
    <row r="128" spans="1:11">
      <c r="A128" t="s">
        <v>34</v>
      </c>
      <c r="B128" t="s">
        <v>29</v>
      </c>
      <c r="C128" t="s">
        <v>15</v>
      </c>
      <c r="D128" t="s">
        <v>33</v>
      </c>
      <c r="E128" s="1" t="s">
        <v>20</v>
      </c>
      <c r="F128" s="1">
        <v>0</v>
      </c>
      <c r="G128" s="4">
        <v>0</v>
      </c>
      <c r="H128" s="1">
        <v>0</v>
      </c>
      <c r="I128" s="1">
        <v>0</v>
      </c>
      <c r="J128" s="1">
        <v>0</v>
      </c>
      <c r="K128" s="4">
        <f t="shared" si="15"/>
        <v>0</v>
      </c>
    </row>
    <row r="129" spans="1:11">
      <c r="A129" t="s">
        <v>34</v>
      </c>
      <c r="B129" t="s">
        <v>29</v>
      </c>
      <c r="C129" t="s">
        <v>15</v>
      </c>
      <c r="D129" t="s">
        <v>33</v>
      </c>
      <c r="E129" s="1" t="s">
        <v>21</v>
      </c>
      <c r="F129" s="1">
        <f>62+91+50</f>
        <v>203</v>
      </c>
      <c r="G129" s="4">
        <f>(10*1.7+12*1.17+10*1)/J129</f>
        <v>1.2825</v>
      </c>
      <c r="H129" s="5">
        <v>2</v>
      </c>
      <c r="I129" s="5">
        <v>0</v>
      </c>
      <c r="J129" s="5">
        <v>32</v>
      </c>
      <c r="K129" s="4">
        <f t="shared" si="15"/>
        <v>260.34749999999997</v>
      </c>
    </row>
    <row r="130" spans="1:11">
      <c r="A130" t="s">
        <v>34</v>
      </c>
      <c r="B130" t="s">
        <v>29</v>
      </c>
      <c r="C130" t="s">
        <v>15</v>
      </c>
      <c r="D130" t="s">
        <v>33</v>
      </c>
      <c r="E130" s="1" t="s">
        <v>36</v>
      </c>
      <c r="F130" s="1">
        <f>7+60+8+112+15+109+188</f>
        <v>499</v>
      </c>
      <c r="G130" s="4">
        <f>(3*2.33+14*1.42+11*2.09+8*3.5)/J130</f>
        <v>2.1627777777777779</v>
      </c>
      <c r="H130" s="5">
        <v>4</v>
      </c>
      <c r="I130" s="5">
        <v>3</v>
      </c>
      <c r="J130" s="5">
        <v>36</v>
      </c>
      <c r="K130" s="4">
        <f t="shared" si="15"/>
        <v>1079.2261111111111</v>
      </c>
    </row>
    <row r="131" spans="1:11">
      <c r="A131" t="s">
        <v>34</v>
      </c>
      <c r="B131" t="s">
        <v>29</v>
      </c>
      <c r="C131" t="s">
        <v>15</v>
      </c>
      <c r="D131" t="s">
        <v>33</v>
      </c>
      <c r="E131" s="1" t="s">
        <v>22</v>
      </c>
      <c r="F131" s="1">
        <f>129+83</f>
        <v>212</v>
      </c>
      <c r="G131" s="6">
        <f>(5*4+4*4.5)/J131</f>
        <v>4.2222222222222223</v>
      </c>
      <c r="H131" s="5">
        <v>2</v>
      </c>
      <c r="I131" s="5">
        <v>0</v>
      </c>
      <c r="J131" s="5">
        <v>9</v>
      </c>
      <c r="K131" s="4">
        <f t="shared" si="15"/>
        <v>895.11111111111109</v>
      </c>
    </row>
    <row r="132" spans="1:11">
      <c r="A132" t="s">
        <v>34</v>
      </c>
      <c r="B132" t="s">
        <v>29</v>
      </c>
      <c r="C132" t="s">
        <v>15</v>
      </c>
      <c r="D132" t="s">
        <v>33</v>
      </c>
      <c r="E132" s="1" t="s">
        <v>23</v>
      </c>
      <c r="F132" s="1">
        <f>53+115+14+7+144+52+147+148</f>
        <v>680</v>
      </c>
      <c r="G132" s="4">
        <f>(6*3.33+10*2.8+8*4.74+7*1.71+10*3.9+7*4.14)/J132</f>
        <v>3.4552083333333332</v>
      </c>
      <c r="H132" s="5">
        <v>6</v>
      </c>
      <c r="I132" s="5">
        <v>2</v>
      </c>
      <c r="J132" s="5">
        <v>48</v>
      </c>
      <c r="K132" s="4">
        <f t="shared" si="15"/>
        <v>2349.5416666666665</v>
      </c>
    </row>
    <row r="133" spans="1:11">
      <c r="A133" t="s">
        <v>34</v>
      </c>
      <c r="B133" t="s">
        <v>29</v>
      </c>
      <c r="C133" t="s">
        <v>15</v>
      </c>
      <c r="D133" t="s">
        <v>33</v>
      </c>
      <c r="E133" s="1" t="s">
        <v>24</v>
      </c>
      <c r="F133" s="1">
        <v>0</v>
      </c>
      <c r="G133" s="5">
        <v>0</v>
      </c>
      <c r="H133" s="5">
        <v>0</v>
      </c>
      <c r="I133" s="5">
        <v>0</v>
      </c>
      <c r="J133" s="1">
        <v>0</v>
      </c>
      <c r="K133" s="4">
        <f t="shared" si="15"/>
        <v>0</v>
      </c>
    </row>
    <row r="134" spans="1:11">
      <c r="A134" t="s">
        <v>34</v>
      </c>
      <c r="B134" t="s">
        <v>29</v>
      </c>
      <c r="C134" t="s">
        <v>15</v>
      </c>
      <c r="D134" t="s">
        <v>33</v>
      </c>
      <c r="E134" s="1" t="s">
        <v>25</v>
      </c>
      <c r="F134" s="1">
        <v>0</v>
      </c>
      <c r="G134" s="4">
        <v>0</v>
      </c>
      <c r="H134" s="1">
        <v>0</v>
      </c>
      <c r="I134" s="1">
        <v>0</v>
      </c>
      <c r="J134" s="1">
        <v>0</v>
      </c>
      <c r="K134" s="4">
        <f>F134*G134</f>
        <v>0</v>
      </c>
    </row>
    <row r="135" spans="1:11">
      <c r="A135" s="3" t="s">
        <v>35</v>
      </c>
      <c r="B135" s="3" t="s">
        <v>14</v>
      </c>
      <c r="C135" s="3" t="s">
        <v>15</v>
      </c>
      <c r="D135" s="3" t="s">
        <v>32</v>
      </c>
      <c r="E135" s="3" t="s">
        <v>16</v>
      </c>
      <c r="F135" s="1">
        <v>0</v>
      </c>
      <c r="G135" s="4">
        <v>0</v>
      </c>
      <c r="H135" s="1">
        <v>0</v>
      </c>
      <c r="I135" s="5">
        <v>0</v>
      </c>
      <c r="J135" s="5">
        <v>0</v>
      </c>
      <c r="K135" s="4">
        <f>F135*G135</f>
        <v>0</v>
      </c>
    </row>
    <row r="136" spans="1:11">
      <c r="A136" s="3" t="s">
        <v>35</v>
      </c>
      <c r="B136" s="3" t="s">
        <v>14</v>
      </c>
      <c r="C136" s="3" t="s">
        <v>15</v>
      </c>
      <c r="D136" s="3" t="s">
        <v>32</v>
      </c>
      <c r="E136" s="3" t="s">
        <v>17</v>
      </c>
      <c r="F136" s="1">
        <f>32+(4+5+4+4)</f>
        <v>49</v>
      </c>
      <c r="G136" s="4">
        <f>(3.5*2+1*4)/J136</f>
        <v>1.8333333333333333</v>
      </c>
      <c r="H136" s="1">
        <v>1</v>
      </c>
      <c r="I136" s="5">
        <v>0</v>
      </c>
      <c r="J136" s="5">
        <v>6</v>
      </c>
      <c r="K136" s="4">
        <f t="shared" ref="K136:K142" si="16">F136*G136</f>
        <v>89.833333333333329</v>
      </c>
    </row>
    <row r="137" spans="1:11">
      <c r="A137" s="3" t="s">
        <v>35</v>
      </c>
      <c r="B137" s="3" t="s">
        <v>14</v>
      </c>
      <c r="C137" s="3" t="s">
        <v>15</v>
      </c>
      <c r="D137" s="3" t="s">
        <v>32</v>
      </c>
      <c r="E137" s="3" t="s">
        <v>18</v>
      </c>
      <c r="F137" s="1">
        <f>132+28+29+110+13+7</f>
        <v>319</v>
      </c>
      <c r="G137" s="4">
        <f>(13*2.15+1*5+5*1.2+5*3)/J137</f>
        <v>1.4197368421052632</v>
      </c>
      <c r="H137" s="1">
        <v>5</v>
      </c>
      <c r="I137" s="1">
        <v>2</v>
      </c>
      <c r="J137" s="1">
        <f>13+15+5+5</f>
        <v>38</v>
      </c>
      <c r="K137" s="4">
        <f t="shared" si="16"/>
        <v>452.89605263157898</v>
      </c>
    </row>
    <row r="138" spans="1:11">
      <c r="A138" s="3" t="s">
        <v>35</v>
      </c>
      <c r="B138" s="3" t="s">
        <v>14</v>
      </c>
      <c r="C138" s="3" t="s">
        <v>15</v>
      </c>
      <c r="D138" s="3" t="s">
        <v>32</v>
      </c>
      <c r="E138" s="3" t="s">
        <v>19</v>
      </c>
      <c r="F138" s="1">
        <v>0</v>
      </c>
      <c r="G138" s="4">
        <v>0</v>
      </c>
      <c r="H138" s="1">
        <v>0</v>
      </c>
      <c r="I138" s="1">
        <v>0</v>
      </c>
      <c r="J138" s="1">
        <v>0</v>
      </c>
      <c r="K138" s="4">
        <f t="shared" si="16"/>
        <v>0</v>
      </c>
    </row>
    <row r="139" spans="1:11">
      <c r="A139" s="3" t="s">
        <v>35</v>
      </c>
      <c r="B139" s="3" t="s">
        <v>14</v>
      </c>
      <c r="C139" s="3" t="s">
        <v>15</v>
      </c>
      <c r="D139" s="3" t="s">
        <v>33</v>
      </c>
      <c r="E139" s="3" t="s">
        <v>20</v>
      </c>
      <c r="F139" s="1">
        <f>42+77+19+14+10+42</f>
        <v>204</v>
      </c>
      <c r="G139" s="4">
        <f>(7*1+12*1+7*1)/J139</f>
        <v>1</v>
      </c>
      <c r="H139" s="1">
        <v>3</v>
      </c>
      <c r="I139" s="1">
        <v>3</v>
      </c>
      <c r="J139" s="1">
        <v>26</v>
      </c>
      <c r="K139" s="4">
        <f t="shared" si="16"/>
        <v>204</v>
      </c>
    </row>
    <row r="140" spans="1:11">
      <c r="A140" s="3" t="s">
        <v>35</v>
      </c>
      <c r="B140" s="3" t="s">
        <v>14</v>
      </c>
      <c r="C140" s="3" t="s">
        <v>15</v>
      </c>
      <c r="D140" s="3" t="s">
        <v>33</v>
      </c>
      <c r="E140" s="3" t="s">
        <v>21</v>
      </c>
      <c r="F140" s="1">
        <v>1</v>
      </c>
      <c r="G140" s="4">
        <v>1</v>
      </c>
      <c r="H140" s="5">
        <v>0</v>
      </c>
      <c r="I140" s="5">
        <v>1</v>
      </c>
      <c r="J140" s="5">
        <v>0</v>
      </c>
      <c r="K140" s="4">
        <f t="shared" si="16"/>
        <v>1</v>
      </c>
    </row>
    <row r="141" spans="1:11">
      <c r="A141" s="3" t="s">
        <v>35</v>
      </c>
      <c r="B141" s="3" t="s">
        <v>14</v>
      </c>
      <c r="C141" s="3" t="s">
        <v>15</v>
      </c>
      <c r="D141" s="3" t="s">
        <v>33</v>
      </c>
      <c r="E141" s="3" t="s">
        <v>36</v>
      </c>
      <c r="F141" s="1">
        <f>5+167+70+53+8</f>
        <v>303</v>
      </c>
      <c r="G141" s="4">
        <f>(11*2.5+2*2+2*2.3)/J141</f>
        <v>2.4066666666666667</v>
      </c>
      <c r="H141" s="1">
        <v>3</v>
      </c>
      <c r="I141" s="1">
        <v>2</v>
      </c>
      <c r="J141" s="1">
        <v>15</v>
      </c>
      <c r="K141" s="4">
        <f t="shared" si="16"/>
        <v>729.22</v>
      </c>
    </row>
    <row r="142" spans="1:11">
      <c r="A142" s="3" t="s">
        <v>35</v>
      </c>
      <c r="B142" s="3" t="s">
        <v>14</v>
      </c>
      <c r="C142" s="3" t="s">
        <v>15</v>
      </c>
      <c r="D142" s="3" t="s">
        <v>33</v>
      </c>
      <c r="E142" s="3" t="s">
        <v>22</v>
      </c>
      <c r="F142" s="1">
        <f>113+5+(2)</f>
        <v>120</v>
      </c>
      <c r="G142" s="4">
        <f>(6*3.16+1)/J142</f>
        <v>2.8514285714285714</v>
      </c>
      <c r="H142" s="5">
        <v>2</v>
      </c>
      <c r="I142" s="5">
        <v>1</v>
      </c>
      <c r="J142" s="5">
        <v>7</v>
      </c>
      <c r="K142" s="4">
        <f t="shared" si="16"/>
        <v>342.17142857142858</v>
      </c>
    </row>
    <row r="143" spans="1:11">
      <c r="A143" s="3" t="s">
        <v>35</v>
      </c>
      <c r="B143" s="3" t="s">
        <v>14</v>
      </c>
      <c r="C143" s="3" t="s">
        <v>15</v>
      </c>
      <c r="D143" s="3" t="s">
        <v>33</v>
      </c>
      <c r="E143" s="3" t="s">
        <v>23</v>
      </c>
      <c r="F143" s="1">
        <f>5+17+(8+2+8)+(1+1+1)+(1+1+0+0)</f>
        <v>45</v>
      </c>
      <c r="G143" s="4">
        <f>(3*1+4+1+4+(1+1+1)+(1+1))/J143</f>
        <v>1.7</v>
      </c>
      <c r="H143" s="5">
        <v>4</v>
      </c>
      <c r="I143" s="5">
        <v>1</v>
      </c>
      <c r="J143" s="5">
        <v>10</v>
      </c>
      <c r="K143" s="4">
        <f>F143*G143</f>
        <v>76.5</v>
      </c>
    </row>
    <row r="144" spans="1:11">
      <c r="A144" s="3" t="s">
        <v>35</v>
      </c>
      <c r="B144" s="3" t="s">
        <v>14</v>
      </c>
      <c r="C144" s="3" t="s">
        <v>15</v>
      </c>
      <c r="D144" s="3" t="s">
        <v>33</v>
      </c>
      <c r="E144" s="3" t="s">
        <v>24</v>
      </c>
      <c r="F144" s="1">
        <f>2+(9+6)+(9+6)</f>
        <v>32</v>
      </c>
      <c r="G144" s="4">
        <f>AVERAGE(1,4,3,4,3)</f>
        <v>3</v>
      </c>
      <c r="H144" s="5">
        <v>3</v>
      </c>
      <c r="I144" s="5">
        <v>0</v>
      </c>
      <c r="J144" s="5">
        <v>5</v>
      </c>
      <c r="K144" s="4">
        <f>F144*G144</f>
        <v>96</v>
      </c>
    </row>
    <row r="145" spans="1:11">
      <c r="A145" s="3" t="s">
        <v>35</v>
      </c>
      <c r="B145" s="3" t="s">
        <v>14</v>
      </c>
      <c r="C145" s="3" t="s">
        <v>15</v>
      </c>
      <c r="D145" s="3" t="s">
        <v>32</v>
      </c>
      <c r="E145" s="3" t="s">
        <v>25</v>
      </c>
      <c r="F145" s="1">
        <v>160</v>
      </c>
      <c r="G145" s="4">
        <v>1.87</v>
      </c>
      <c r="H145" s="1"/>
      <c r="I145" s="1"/>
      <c r="J145" s="1"/>
      <c r="K145" s="4">
        <f>F145*G145</f>
        <v>299.20000000000005</v>
      </c>
    </row>
    <row r="146" spans="1:11">
      <c r="A146" s="3" t="s">
        <v>35</v>
      </c>
      <c r="B146" s="3" t="s">
        <v>26</v>
      </c>
      <c r="C146" s="3" t="s">
        <v>15</v>
      </c>
      <c r="D146" s="3" t="s">
        <v>32</v>
      </c>
      <c r="E146" s="1" t="s">
        <v>16</v>
      </c>
      <c r="F146" s="1">
        <f>70+17</f>
        <v>87</v>
      </c>
      <c r="G146" s="1">
        <f>(5*1.8+1*3)/J146</f>
        <v>2</v>
      </c>
      <c r="H146" s="1">
        <v>2</v>
      </c>
      <c r="I146" s="1">
        <v>0</v>
      </c>
      <c r="J146" s="1">
        <v>6</v>
      </c>
      <c r="K146" s="4">
        <f t="shared" ref="K146:K155" si="17">F146*G146</f>
        <v>174</v>
      </c>
    </row>
    <row r="147" spans="1:11">
      <c r="A147" s="3" t="s">
        <v>35</v>
      </c>
      <c r="B147" s="3" t="s">
        <v>26</v>
      </c>
      <c r="C147" s="3" t="s">
        <v>15</v>
      </c>
      <c r="D147" s="3" t="s">
        <v>32</v>
      </c>
      <c r="E147" s="1" t="s">
        <v>17</v>
      </c>
      <c r="F147" s="1">
        <f>32+(5+6+5+5+4)+51</f>
        <v>108</v>
      </c>
      <c r="G147" s="6">
        <f>(2*3.5+2+1+1+1+1+4*2)/J147</f>
        <v>1.9090909090909092</v>
      </c>
      <c r="H147" s="5">
        <v>2</v>
      </c>
      <c r="I147" s="5">
        <v>0</v>
      </c>
      <c r="J147" s="5">
        <f>7+4</f>
        <v>11</v>
      </c>
      <c r="K147" s="4">
        <f t="shared" si="17"/>
        <v>206.18181818181819</v>
      </c>
    </row>
    <row r="148" spans="1:11">
      <c r="A148" s="3" t="s">
        <v>35</v>
      </c>
      <c r="B148" s="3" t="s">
        <v>26</v>
      </c>
      <c r="C148" s="3" t="s">
        <v>15</v>
      </c>
      <c r="D148" s="3" t="s">
        <v>32</v>
      </c>
      <c r="E148" s="1" t="s">
        <v>18</v>
      </c>
      <c r="F148" s="1">
        <f>132+28+29+110+13+7</f>
        <v>319</v>
      </c>
      <c r="G148" s="4">
        <f>(13*2.15+1*5+5*1.2+5*3)/J148</f>
        <v>1.4197368421052632</v>
      </c>
      <c r="H148" s="1">
        <v>5</v>
      </c>
      <c r="I148" s="1">
        <v>2</v>
      </c>
      <c r="J148" s="1">
        <f>13+15+5+5</f>
        <v>38</v>
      </c>
      <c r="K148" s="4">
        <f t="shared" si="17"/>
        <v>452.89605263157898</v>
      </c>
    </row>
    <row r="149" spans="1:11">
      <c r="A149" s="3" t="s">
        <v>35</v>
      </c>
      <c r="B149" s="3" t="s">
        <v>26</v>
      </c>
      <c r="C149" s="3" t="s">
        <v>15</v>
      </c>
      <c r="D149" s="3" t="s">
        <v>32</v>
      </c>
      <c r="E149" s="1" t="s">
        <v>19</v>
      </c>
      <c r="F149" s="1">
        <v>0</v>
      </c>
      <c r="G149" s="4">
        <v>0</v>
      </c>
      <c r="H149" s="1">
        <v>0</v>
      </c>
      <c r="I149" s="1">
        <v>0</v>
      </c>
      <c r="J149" s="1">
        <v>0</v>
      </c>
      <c r="K149" s="4">
        <f t="shared" si="17"/>
        <v>0</v>
      </c>
    </row>
    <row r="150" spans="1:11">
      <c r="A150" s="3" t="s">
        <v>35</v>
      </c>
      <c r="B150" s="3" t="s">
        <v>26</v>
      </c>
      <c r="C150" s="3" t="s">
        <v>15</v>
      </c>
      <c r="D150" s="3" t="s">
        <v>33</v>
      </c>
      <c r="E150" s="1" t="s">
        <v>20</v>
      </c>
      <c r="F150" s="1">
        <f>42+77+19+14+10+42</f>
        <v>204</v>
      </c>
      <c r="G150" s="4">
        <f>(7*1+12*1+7*1)/J150</f>
        <v>1</v>
      </c>
      <c r="H150" s="1">
        <v>3</v>
      </c>
      <c r="I150" s="1">
        <v>3</v>
      </c>
      <c r="J150" s="1">
        <v>26</v>
      </c>
      <c r="K150" s="4">
        <f t="shared" si="17"/>
        <v>204</v>
      </c>
    </row>
    <row r="151" spans="1:11">
      <c r="A151" s="3" t="s">
        <v>35</v>
      </c>
      <c r="B151" s="3" t="s">
        <v>26</v>
      </c>
      <c r="C151" s="3" t="s">
        <v>15</v>
      </c>
      <c r="D151" s="3" t="s">
        <v>33</v>
      </c>
      <c r="E151" s="1" t="s">
        <v>21</v>
      </c>
      <c r="F151" s="1">
        <f>4+(5+8)</f>
        <v>17</v>
      </c>
      <c r="G151" s="4">
        <f>AVERAGE(2,3)</f>
        <v>2.5</v>
      </c>
      <c r="H151" s="5">
        <v>1</v>
      </c>
      <c r="I151" s="5">
        <v>1</v>
      </c>
      <c r="J151" s="5">
        <v>2</v>
      </c>
      <c r="K151" s="4">
        <f t="shared" si="17"/>
        <v>42.5</v>
      </c>
    </row>
    <row r="152" spans="1:11">
      <c r="A152" s="3" t="s">
        <v>35</v>
      </c>
      <c r="B152" s="3" t="s">
        <v>26</v>
      </c>
      <c r="C152" s="3" t="s">
        <v>15</v>
      </c>
      <c r="D152" s="3" t="s">
        <v>33</v>
      </c>
      <c r="E152" s="1" t="s">
        <v>36</v>
      </c>
      <c r="F152" s="1">
        <f>5+167+70+53+8+7</f>
        <v>310</v>
      </c>
      <c r="G152" s="4">
        <f>(11*2.5+2*2+2*2.3+2)/J152</f>
        <v>2.3812500000000001</v>
      </c>
      <c r="H152" s="1">
        <v>3</v>
      </c>
      <c r="I152" s="1">
        <v>2</v>
      </c>
      <c r="J152" s="1">
        <v>16</v>
      </c>
      <c r="K152" s="4">
        <f t="shared" si="17"/>
        <v>738.1875</v>
      </c>
    </row>
    <row r="153" spans="1:11">
      <c r="A153" s="3" t="s">
        <v>35</v>
      </c>
      <c r="B153" s="3" t="s">
        <v>26</v>
      </c>
      <c r="C153" s="3" t="s">
        <v>15</v>
      </c>
      <c r="D153" s="3" t="s">
        <v>33</v>
      </c>
      <c r="E153" s="1" t="s">
        <v>22</v>
      </c>
      <c r="F153" s="1">
        <f>113+5+2</f>
        <v>120</v>
      </c>
      <c r="G153" s="6">
        <f>(6*3.16+1)/J153</f>
        <v>2.8514285714285714</v>
      </c>
      <c r="H153" s="5">
        <v>2</v>
      </c>
      <c r="I153" s="5">
        <v>1</v>
      </c>
      <c r="J153" s="5">
        <v>7</v>
      </c>
      <c r="K153" s="4">
        <f t="shared" si="17"/>
        <v>342.17142857142858</v>
      </c>
    </row>
    <row r="154" spans="1:11">
      <c r="A154" s="3" t="s">
        <v>35</v>
      </c>
      <c r="B154" s="3" t="s">
        <v>26</v>
      </c>
      <c r="C154" s="3" t="s">
        <v>15</v>
      </c>
      <c r="D154" s="3" t="s">
        <v>33</v>
      </c>
      <c r="E154" s="1" t="s">
        <v>23</v>
      </c>
      <c r="F154" s="1">
        <f>5+17+(8+2+8)+(6+5)</f>
        <v>51</v>
      </c>
      <c r="G154" s="4">
        <f>(3*1+4+1+4+2+2)/J154</f>
        <v>2</v>
      </c>
      <c r="H154" s="5">
        <v>3</v>
      </c>
      <c r="I154" s="5">
        <v>1</v>
      </c>
      <c r="J154" s="5">
        <v>8</v>
      </c>
      <c r="K154" s="4">
        <f t="shared" si="17"/>
        <v>102</v>
      </c>
    </row>
    <row r="155" spans="1:11">
      <c r="A155" s="3" t="s">
        <v>35</v>
      </c>
      <c r="B155" s="3" t="s">
        <v>26</v>
      </c>
      <c r="C155" s="3" t="s">
        <v>15</v>
      </c>
      <c r="D155" s="3" t="s">
        <v>33</v>
      </c>
      <c r="E155" s="1" t="s">
        <v>24</v>
      </c>
      <c r="F155" s="1">
        <v>0</v>
      </c>
      <c r="G155" s="5">
        <v>0</v>
      </c>
      <c r="H155" s="5">
        <v>0</v>
      </c>
      <c r="I155" s="5">
        <v>0</v>
      </c>
      <c r="J155" s="5">
        <v>0</v>
      </c>
      <c r="K155" s="4">
        <f t="shared" si="17"/>
        <v>0</v>
      </c>
    </row>
    <row r="156" spans="1:11">
      <c r="A156" s="3" t="s">
        <v>35</v>
      </c>
      <c r="B156" s="3" t="s">
        <v>26</v>
      </c>
      <c r="C156" s="3" t="s">
        <v>15</v>
      </c>
      <c r="D156" s="3" t="s">
        <v>32</v>
      </c>
      <c r="E156" s="1" t="s">
        <v>25</v>
      </c>
      <c r="F156" s="1">
        <v>155</v>
      </c>
      <c r="G156" s="4">
        <v>1.95</v>
      </c>
      <c r="H156" s="1"/>
      <c r="I156" s="1"/>
      <c r="J156" s="1"/>
      <c r="K156" s="4">
        <f>F156*G156</f>
        <v>302.25</v>
      </c>
    </row>
    <row r="157" spans="1:11">
      <c r="A157" s="3" t="s">
        <v>35</v>
      </c>
      <c r="B157" s="3" t="s">
        <v>27</v>
      </c>
      <c r="C157" s="3" t="s">
        <v>15</v>
      </c>
      <c r="D157" s="3" t="s">
        <v>32</v>
      </c>
      <c r="E157" s="1" t="s">
        <v>16</v>
      </c>
      <c r="F157" s="1">
        <f>87+29</f>
        <v>116</v>
      </c>
      <c r="G157" s="4">
        <f>(2*3.5+1*4)/J157</f>
        <v>3.6666666666666665</v>
      </c>
      <c r="H157" s="1">
        <v>2</v>
      </c>
      <c r="I157" s="1">
        <v>0</v>
      </c>
      <c r="J157" s="1">
        <v>3</v>
      </c>
      <c r="K157" s="4">
        <f t="shared" ref="K157:K166" si="18">F157*G157</f>
        <v>425.33333333333331</v>
      </c>
    </row>
    <row r="158" spans="1:11">
      <c r="A158" s="3" t="s">
        <v>35</v>
      </c>
      <c r="B158" s="3" t="s">
        <v>27</v>
      </c>
      <c r="C158" s="3" t="s">
        <v>15</v>
      </c>
      <c r="D158" s="3" t="s">
        <v>32</v>
      </c>
      <c r="E158" s="1" t="s">
        <v>17</v>
      </c>
      <c r="F158" s="1">
        <f>92+(4+6+5+5)+32</f>
        <v>144</v>
      </c>
      <c r="G158" s="6">
        <f>(2*6.5+4*1+2*3.5)/J158</f>
        <v>3</v>
      </c>
      <c r="H158" s="5">
        <v>3</v>
      </c>
      <c r="I158" s="5">
        <v>0</v>
      </c>
      <c r="J158" s="5">
        <v>8</v>
      </c>
      <c r="K158" s="4">
        <f t="shared" si="18"/>
        <v>432</v>
      </c>
    </row>
    <row r="159" spans="1:11">
      <c r="A159" s="3" t="s">
        <v>35</v>
      </c>
      <c r="B159" s="3" t="s">
        <v>27</v>
      </c>
      <c r="C159" s="3" t="s">
        <v>15</v>
      </c>
      <c r="D159" s="3" t="s">
        <v>32</v>
      </c>
      <c r="E159" s="1" t="s">
        <v>18</v>
      </c>
      <c r="F159" s="1">
        <f>132+28+29+110+13+7</f>
        <v>319</v>
      </c>
      <c r="G159" s="4">
        <f>(13*2.15+1*5+5*1.2+5*3)/J159</f>
        <v>1.4197368421052632</v>
      </c>
      <c r="H159" s="1">
        <v>5</v>
      </c>
      <c r="I159" s="1">
        <v>2</v>
      </c>
      <c r="J159" s="1">
        <f>13+15+5+5</f>
        <v>38</v>
      </c>
      <c r="K159" s="4">
        <f t="shared" si="18"/>
        <v>452.89605263157898</v>
      </c>
    </row>
    <row r="160" spans="1:11">
      <c r="A160" s="3" t="s">
        <v>35</v>
      </c>
      <c r="B160" s="3" t="s">
        <v>27</v>
      </c>
      <c r="C160" s="3" t="s">
        <v>15</v>
      </c>
      <c r="D160" s="3" t="s">
        <v>33</v>
      </c>
      <c r="E160" s="1" t="s">
        <v>19</v>
      </c>
      <c r="F160" s="1">
        <v>0</v>
      </c>
      <c r="G160" s="4">
        <v>0</v>
      </c>
      <c r="H160" s="1">
        <v>0</v>
      </c>
      <c r="I160" s="1">
        <v>0</v>
      </c>
      <c r="J160" s="1">
        <v>0</v>
      </c>
      <c r="K160" s="4">
        <f t="shared" si="18"/>
        <v>0</v>
      </c>
    </row>
    <row r="161" spans="1:11">
      <c r="A161" s="3" t="s">
        <v>35</v>
      </c>
      <c r="B161" s="3" t="s">
        <v>27</v>
      </c>
      <c r="C161" s="3" t="s">
        <v>15</v>
      </c>
      <c r="D161" s="3" t="s">
        <v>33</v>
      </c>
      <c r="E161" s="1" t="s">
        <v>20</v>
      </c>
      <c r="F161" s="1">
        <f>42+77+19+14+10+42</f>
        <v>204</v>
      </c>
      <c r="G161" s="4">
        <f>(7*1+12*1+7*1)/J161</f>
        <v>1</v>
      </c>
      <c r="H161" s="1">
        <v>3</v>
      </c>
      <c r="I161" s="1">
        <v>3</v>
      </c>
      <c r="J161" s="1">
        <v>26</v>
      </c>
      <c r="K161" s="4">
        <f t="shared" si="18"/>
        <v>204</v>
      </c>
    </row>
    <row r="162" spans="1:11">
      <c r="A162" s="3" t="s">
        <v>35</v>
      </c>
      <c r="B162" s="3" t="s">
        <v>27</v>
      </c>
      <c r="C162" s="3" t="s">
        <v>15</v>
      </c>
      <c r="D162" s="3" t="s">
        <v>33</v>
      </c>
      <c r="E162" s="1" t="s">
        <v>21</v>
      </c>
      <c r="F162" s="1">
        <v>5</v>
      </c>
      <c r="G162" s="4">
        <v>1</v>
      </c>
      <c r="H162" s="5">
        <v>1</v>
      </c>
      <c r="I162" s="5">
        <v>1</v>
      </c>
      <c r="J162" s="5">
        <v>1</v>
      </c>
      <c r="K162" s="4">
        <f t="shared" si="18"/>
        <v>5</v>
      </c>
    </row>
    <row r="163" spans="1:11">
      <c r="A163" s="3" t="s">
        <v>35</v>
      </c>
      <c r="B163" s="3" t="s">
        <v>27</v>
      </c>
      <c r="C163" s="3" t="s">
        <v>15</v>
      </c>
      <c r="D163" s="3" t="s">
        <v>33</v>
      </c>
      <c r="E163" s="1" t="s">
        <v>36</v>
      </c>
      <c r="F163" s="1">
        <f>5+167+70+53+8+8</f>
        <v>311</v>
      </c>
      <c r="G163" s="4">
        <f>(11*2.5+2*2+2*2.3+2)/J163</f>
        <v>2.3812500000000001</v>
      </c>
      <c r="H163" s="1">
        <v>3</v>
      </c>
      <c r="I163" s="1">
        <v>2</v>
      </c>
      <c r="J163" s="1">
        <v>16</v>
      </c>
      <c r="K163" s="4">
        <f t="shared" si="18"/>
        <v>740.56875000000002</v>
      </c>
    </row>
    <row r="164" spans="1:11">
      <c r="A164" s="3" t="s">
        <v>35</v>
      </c>
      <c r="B164" s="3" t="s">
        <v>27</v>
      </c>
      <c r="C164" s="3" t="s">
        <v>15</v>
      </c>
      <c r="D164" s="3" t="s">
        <v>33</v>
      </c>
      <c r="E164" s="1" t="s">
        <v>22</v>
      </c>
      <c r="F164" s="1">
        <f>2+13+113+5</f>
        <v>133</v>
      </c>
      <c r="G164" s="6">
        <f>(1+3+6*3.16)/J164</f>
        <v>2.2960000000000003</v>
      </c>
      <c r="H164" s="5">
        <v>3</v>
      </c>
      <c r="I164" s="5">
        <v>1</v>
      </c>
      <c r="J164" s="5">
        <v>10</v>
      </c>
      <c r="K164" s="4">
        <f t="shared" si="18"/>
        <v>305.36800000000005</v>
      </c>
    </row>
    <row r="165" spans="1:11">
      <c r="A165" s="3" t="s">
        <v>35</v>
      </c>
      <c r="B165" s="3" t="s">
        <v>27</v>
      </c>
      <c r="C165" s="3" t="s">
        <v>15</v>
      </c>
      <c r="D165" s="3" t="s">
        <v>33</v>
      </c>
      <c r="E165" s="1" t="s">
        <v>23</v>
      </c>
      <c r="F165" s="1">
        <f>8+2+8+5+17</f>
        <v>40</v>
      </c>
      <c r="G165" s="4">
        <f>(4+1+4+3*1)/J165</f>
        <v>2</v>
      </c>
      <c r="H165" s="5">
        <v>2</v>
      </c>
      <c r="I165" s="5">
        <v>1</v>
      </c>
      <c r="J165" s="5">
        <v>6</v>
      </c>
      <c r="K165" s="4">
        <f t="shared" si="18"/>
        <v>80</v>
      </c>
    </row>
    <row r="166" spans="1:11">
      <c r="A166" s="3" t="s">
        <v>35</v>
      </c>
      <c r="B166" s="3" t="s">
        <v>27</v>
      </c>
      <c r="C166" s="3" t="s">
        <v>15</v>
      </c>
      <c r="D166" s="3" t="s">
        <v>33</v>
      </c>
      <c r="E166" s="1" t="s">
        <v>24</v>
      </c>
      <c r="F166" s="1">
        <v>0</v>
      </c>
      <c r="G166" s="5">
        <v>0</v>
      </c>
      <c r="H166" s="5">
        <v>0</v>
      </c>
      <c r="I166" s="5">
        <v>0</v>
      </c>
      <c r="J166" s="5">
        <v>0</v>
      </c>
      <c r="K166" s="4">
        <f t="shared" si="18"/>
        <v>0</v>
      </c>
    </row>
    <row r="167" spans="1:11">
      <c r="A167" s="3" t="s">
        <v>35</v>
      </c>
      <c r="B167" s="3" t="s">
        <v>27</v>
      </c>
      <c r="C167" s="3" t="s">
        <v>15</v>
      </c>
      <c r="D167" s="3" t="s">
        <v>32</v>
      </c>
      <c r="E167" s="1" t="s">
        <v>25</v>
      </c>
      <c r="F167" s="1">
        <v>288</v>
      </c>
      <c r="G167" s="4">
        <v>1.05</v>
      </c>
      <c r="H167" s="1"/>
      <c r="I167" s="1"/>
      <c r="J167" s="1"/>
      <c r="K167" s="4">
        <f>F167*G167</f>
        <v>302.40000000000003</v>
      </c>
    </row>
    <row r="168" spans="1:11">
      <c r="A168" s="3" t="s">
        <v>35</v>
      </c>
      <c r="B168" s="3" t="s">
        <v>28</v>
      </c>
      <c r="C168" s="3" t="s">
        <v>15</v>
      </c>
      <c r="D168" s="3" t="s">
        <v>32</v>
      </c>
      <c r="E168" s="1" t="s">
        <v>16</v>
      </c>
      <c r="F168" s="1">
        <f>68+7</f>
        <v>75</v>
      </c>
      <c r="G168" s="4">
        <f>(6*1.16+3)/J168</f>
        <v>1.4228571428571428</v>
      </c>
      <c r="H168" s="1">
        <v>2</v>
      </c>
      <c r="I168" s="1">
        <v>0</v>
      </c>
      <c r="J168" s="1">
        <v>7</v>
      </c>
      <c r="K168" s="4">
        <f t="shared" ref="K168:K177" si="19">F168*G168</f>
        <v>106.71428571428571</v>
      </c>
    </row>
    <row r="169" spans="1:11">
      <c r="A169" s="3" t="s">
        <v>35</v>
      </c>
      <c r="B169" s="3" t="s">
        <v>28</v>
      </c>
      <c r="C169" s="3" t="s">
        <v>15</v>
      </c>
      <c r="D169" s="3" t="s">
        <v>32</v>
      </c>
      <c r="E169" s="1" t="s">
        <v>17</v>
      </c>
      <c r="F169" s="1">
        <f>32+(4+8+6+5)+25</f>
        <v>80</v>
      </c>
      <c r="G169" s="6">
        <f>(2*3.5+1+2+1+1+3*1.33)/J169</f>
        <v>1.7766666666666666</v>
      </c>
      <c r="H169" s="5">
        <v>3</v>
      </c>
      <c r="I169" s="5">
        <v>0</v>
      </c>
      <c r="J169" s="5">
        <v>9</v>
      </c>
      <c r="K169" s="4">
        <f t="shared" si="19"/>
        <v>142.13333333333333</v>
      </c>
    </row>
    <row r="170" spans="1:11">
      <c r="A170" s="3" t="s">
        <v>35</v>
      </c>
      <c r="B170" s="3" t="s">
        <v>28</v>
      </c>
      <c r="C170" s="3" t="s">
        <v>15</v>
      </c>
      <c r="D170" s="3" t="s">
        <v>32</v>
      </c>
      <c r="E170" s="1" t="s">
        <v>18</v>
      </c>
      <c r="F170" s="1">
        <f>132+28+29+110+13+7</f>
        <v>319</v>
      </c>
      <c r="G170" s="4">
        <f>(13*2.15+1*5+5*1.2+5*3)/J170</f>
        <v>1.4197368421052632</v>
      </c>
      <c r="H170" s="1">
        <v>5</v>
      </c>
      <c r="I170" s="1">
        <v>2</v>
      </c>
      <c r="J170" s="1">
        <f>13+15+5+5</f>
        <v>38</v>
      </c>
      <c r="K170" s="4">
        <f t="shared" si="19"/>
        <v>452.89605263157898</v>
      </c>
    </row>
    <row r="171" spans="1:11">
      <c r="A171" s="3" t="s">
        <v>35</v>
      </c>
      <c r="B171" s="3" t="s">
        <v>28</v>
      </c>
      <c r="C171" s="3" t="s">
        <v>15</v>
      </c>
      <c r="D171" s="3" t="s">
        <v>32</v>
      </c>
      <c r="E171" s="1" t="s">
        <v>19</v>
      </c>
      <c r="F171" s="1">
        <v>0</v>
      </c>
      <c r="G171" s="4">
        <v>0</v>
      </c>
      <c r="H171" s="1">
        <v>0</v>
      </c>
      <c r="I171" s="1">
        <v>0</v>
      </c>
      <c r="J171" s="1">
        <v>0</v>
      </c>
      <c r="K171" s="4">
        <f t="shared" si="19"/>
        <v>0</v>
      </c>
    </row>
    <row r="172" spans="1:11">
      <c r="A172" s="3" t="s">
        <v>35</v>
      </c>
      <c r="B172" s="3" t="s">
        <v>28</v>
      </c>
      <c r="C172" s="3" t="s">
        <v>15</v>
      </c>
      <c r="D172" s="3" t="s">
        <v>33</v>
      </c>
      <c r="E172" s="1" t="s">
        <v>20</v>
      </c>
      <c r="F172" s="1">
        <f>42+77+19+14+10+42+(20+17)</f>
        <v>241</v>
      </c>
      <c r="G172" s="4">
        <f>(7*1+12*1+7*1)/J172</f>
        <v>0.8666666666666667</v>
      </c>
      <c r="H172" s="1">
        <v>5</v>
      </c>
      <c r="I172" s="1">
        <v>3</v>
      </c>
      <c r="J172" s="1">
        <f>26+4</f>
        <v>30</v>
      </c>
      <c r="K172" s="4">
        <f t="shared" si="19"/>
        <v>208.86666666666667</v>
      </c>
    </row>
    <row r="173" spans="1:11">
      <c r="A173" s="3" t="s">
        <v>35</v>
      </c>
      <c r="B173" s="3" t="s">
        <v>28</v>
      </c>
      <c r="C173" s="3" t="s">
        <v>15</v>
      </c>
      <c r="D173" s="3" t="s">
        <v>33</v>
      </c>
      <c r="E173" s="1" t="s">
        <v>21</v>
      </c>
      <c r="F173" s="1">
        <f>4+5+22+1</f>
        <v>32</v>
      </c>
      <c r="G173" s="4">
        <f>AVERAGE(9,2,1)</f>
        <v>4</v>
      </c>
      <c r="H173" s="5">
        <v>2</v>
      </c>
      <c r="I173" s="5">
        <v>1</v>
      </c>
      <c r="J173" s="5">
        <v>3</v>
      </c>
      <c r="K173" s="4">
        <f t="shared" si="19"/>
        <v>128</v>
      </c>
    </row>
    <row r="174" spans="1:11">
      <c r="A174" s="3" t="s">
        <v>35</v>
      </c>
      <c r="B174" s="3" t="s">
        <v>28</v>
      </c>
      <c r="C174" s="3" t="s">
        <v>15</v>
      </c>
      <c r="D174" s="3" t="s">
        <v>33</v>
      </c>
      <c r="E174" s="1" t="s">
        <v>36</v>
      </c>
      <c r="F174" s="1">
        <f>5+167+70+53+8+8</f>
        <v>311</v>
      </c>
      <c r="G174" s="4">
        <f>(11*2.5+2*2+2*2.3+2)/J174</f>
        <v>2.3812500000000001</v>
      </c>
      <c r="H174" s="1">
        <v>3</v>
      </c>
      <c r="I174" s="1">
        <v>2</v>
      </c>
      <c r="J174" s="1">
        <v>16</v>
      </c>
      <c r="K174" s="4">
        <f t="shared" si="19"/>
        <v>740.56875000000002</v>
      </c>
    </row>
    <row r="175" spans="1:11">
      <c r="A175" s="3" t="s">
        <v>35</v>
      </c>
      <c r="B175" s="3" t="s">
        <v>28</v>
      </c>
      <c r="C175" s="3" t="s">
        <v>15</v>
      </c>
      <c r="D175" s="3" t="s">
        <v>33</v>
      </c>
      <c r="E175" s="1" t="s">
        <v>22</v>
      </c>
      <c r="F175" s="1">
        <f>133+2+6+5+5</f>
        <v>151</v>
      </c>
      <c r="G175" s="6">
        <f>(6*3.16+1+2+2)/J175</f>
        <v>2.6622222222222223</v>
      </c>
      <c r="H175" s="5">
        <v>3</v>
      </c>
      <c r="I175" s="5">
        <v>1</v>
      </c>
      <c r="J175" s="5">
        <v>9</v>
      </c>
      <c r="K175" s="4">
        <f t="shared" si="19"/>
        <v>401.99555555555554</v>
      </c>
    </row>
    <row r="176" spans="1:11">
      <c r="A176" s="3" t="s">
        <v>35</v>
      </c>
      <c r="B176" s="3" t="s">
        <v>28</v>
      </c>
      <c r="C176" s="3" t="s">
        <v>15</v>
      </c>
      <c r="D176" s="3" t="s">
        <v>33</v>
      </c>
      <c r="E176" s="1" t="s">
        <v>23</v>
      </c>
      <c r="F176" s="1">
        <f>5+17+(4+1+4)+(18+21)</f>
        <v>70</v>
      </c>
      <c r="G176" s="4">
        <f>(3*1+4+1+4+6+8)/J176</f>
        <v>3.25</v>
      </c>
      <c r="H176" s="5">
        <v>3</v>
      </c>
      <c r="I176" s="5">
        <v>1</v>
      </c>
      <c r="J176" s="5">
        <v>8</v>
      </c>
      <c r="K176" s="4">
        <f t="shared" si="19"/>
        <v>227.5</v>
      </c>
    </row>
    <row r="177" spans="1:11">
      <c r="A177" s="3" t="s">
        <v>35</v>
      </c>
      <c r="B177" s="3" t="s">
        <v>28</v>
      </c>
      <c r="C177" s="3" t="s">
        <v>15</v>
      </c>
      <c r="D177" s="3" t="s">
        <v>33</v>
      </c>
      <c r="E177" s="1" t="s">
        <v>24</v>
      </c>
      <c r="F177" s="1">
        <v>0</v>
      </c>
      <c r="G177" s="5">
        <v>0</v>
      </c>
      <c r="H177" s="5">
        <v>0</v>
      </c>
      <c r="I177" s="5">
        <v>0</v>
      </c>
      <c r="J177" s="5">
        <v>0</v>
      </c>
      <c r="K177" s="4">
        <f t="shared" si="19"/>
        <v>0</v>
      </c>
    </row>
    <row r="178" spans="1:11">
      <c r="A178" s="3" t="s">
        <v>35</v>
      </c>
      <c r="B178" s="3" t="s">
        <v>28</v>
      </c>
      <c r="C178" s="3" t="s">
        <v>15</v>
      </c>
      <c r="D178" s="3" t="s">
        <v>33</v>
      </c>
      <c r="E178" s="1" t="s">
        <v>25</v>
      </c>
      <c r="F178" s="1">
        <v>179</v>
      </c>
      <c r="G178" s="4">
        <v>1.96</v>
      </c>
      <c r="H178" s="1"/>
      <c r="I178" s="1"/>
      <c r="J178" s="1"/>
      <c r="K178" s="4">
        <f>F178*G178</f>
        <v>350.84</v>
      </c>
    </row>
    <row r="179" spans="1:11">
      <c r="A179" s="3" t="s">
        <v>35</v>
      </c>
      <c r="B179" s="3" t="s">
        <v>29</v>
      </c>
      <c r="C179" s="3" t="s">
        <v>30</v>
      </c>
      <c r="D179" s="3" t="s">
        <v>32</v>
      </c>
      <c r="E179" s="1" t="s">
        <v>16</v>
      </c>
      <c r="F179" s="1">
        <f>86+15</f>
        <v>101</v>
      </c>
      <c r="G179" s="4">
        <f>(5*2.4+4)/J179</f>
        <v>2.6666666666666665</v>
      </c>
      <c r="H179" s="1">
        <v>2</v>
      </c>
      <c r="I179" s="1">
        <v>0</v>
      </c>
      <c r="J179" s="1">
        <v>6</v>
      </c>
      <c r="K179" s="4">
        <f t="shared" ref="K179:K180" si="20">F179*G179</f>
        <v>269.33333333333331</v>
      </c>
    </row>
    <row r="180" spans="1:11">
      <c r="A180" s="3" t="s">
        <v>35</v>
      </c>
      <c r="B180" s="3" t="s">
        <v>29</v>
      </c>
      <c r="C180" s="3" t="s">
        <v>30</v>
      </c>
      <c r="D180" s="3" t="s">
        <v>32</v>
      </c>
      <c r="E180" s="1" t="s">
        <v>17</v>
      </c>
      <c r="F180" s="1">
        <f>(2+2+9)+(6+11)</f>
        <v>30</v>
      </c>
      <c r="G180" s="6">
        <f>(1+1+2+2+1)/J180</f>
        <v>1.4</v>
      </c>
      <c r="H180" s="5">
        <v>3</v>
      </c>
      <c r="I180" s="5">
        <v>0</v>
      </c>
      <c r="J180" s="5">
        <v>5</v>
      </c>
      <c r="K180" s="4">
        <f t="shared" si="20"/>
        <v>42</v>
      </c>
    </row>
    <row r="181" spans="1:11">
      <c r="A181" s="3" t="s">
        <v>35</v>
      </c>
      <c r="B181" s="3" t="s">
        <v>29</v>
      </c>
      <c r="C181" s="3" t="s">
        <v>30</v>
      </c>
      <c r="D181" s="3" t="s">
        <v>32</v>
      </c>
      <c r="E181" s="1" t="s">
        <v>18</v>
      </c>
      <c r="F181" s="1">
        <v>0</v>
      </c>
      <c r="G181" s="4">
        <v>0</v>
      </c>
      <c r="H181" s="1">
        <v>0</v>
      </c>
      <c r="I181" s="1">
        <v>0</v>
      </c>
      <c r="J181" s="5">
        <v>0</v>
      </c>
      <c r="K181" s="4">
        <f>F181*G181</f>
        <v>0</v>
      </c>
    </row>
    <row r="182" spans="1:11">
      <c r="A182" s="3" t="s">
        <v>35</v>
      </c>
      <c r="B182" s="3" t="s">
        <v>29</v>
      </c>
      <c r="C182" s="3" t="s">
        <v>30</v>
      </c>
      <c r="D182" s="3" t="s">
        <v>32</v>
      </c>
      <c r="E182" s="1" t="s">
        <v>19</v>
      </c>
      <c r="F182" s="1">
        <v>0</v>
      </c>
      <c r="G182" s="4">
        <v>0</v>
      </c>
      <c r="H182" s="1">
        <v>0</v>
      </c>
      <c r="I182" s="1">
        <v>0</v>
      </c>
      <c r="J182" s="1">
        <v>0</v>
      </c>
      <c r="K182" s="4">
        <f t="shared" ref="K182:K188" si="21">F182*G182</f>
        <v>0</v>
      </c>
    </row>
    <row r="183" spans="1:11">
      <c r="A183" s="3" t="s">
        <v>35</v>
      </c>
      <c r="B183" s="3" t="s">
        <v>29</v>
      </c>
      <c r="C183" s="3" t="s">
        <v>30</v>
      </c>
      <c r="D183" s="3" t="s">
        <v>33</v>
      </c>
      <c r="E183" s="1" t="s">
        <v>20</v>
      </c>
      <c r="F183" s="1">
        <f>42+77+19+14+10+42</f>
        <v>204</v>
      </c>
      <c r="G183" s="4">
        <f>(7*1+12*1+7*1)/J183</f>
        <v>1</v>
      </c>
      <c r="H183" s="1">
        <v>3</v>
      </c>
      <c r="I183" s="1">
        <v>3</v>
      </c>
      <c r="J183" s="1">
        <v>26</v>
      </c>
      <c r="K183" s="4">
        <f t="shared" si="21"/>
        <v>204</v>
      </c>
    </row>
    <row r="184" spans="1:11">
      <c r="A184" s="3" t="s">
        <v>35</v>
      </c>
      <c r="B184" s="3" t="s">
        <v>29</v>
      </c>
      <c r="C184" s="3" t="s">
        <v>30</v>
      </c>
      <c r="D184" s="3" t="s">
        <v>33</v>
      </c>
      <c r="E184" s="1" t="s">
        <v>21</v>
      </c>
      <c r="F184" s="1">
        <f>4+6+10</f>
        <v>20</v>
      </c>
      <c r="G184" s="4">
        <f>AVERAGE(3,2)</f>
        <v>2.5</v>
      </c>
      <c r="H184" s="5">
        <v>1</v>
      </c>
      <c r="I184" s="5">
        <v>1</v>
      </c>
      <c r="J184" s="5">
        <v>2</v>
      </c>
      <c r="K184" s="4">
        <f t="shared" si="21"/>
        <v>50</v>
      </c>
    </row>
    <row r="185" spans="1:11">
      <c r="A185" s="3" t="s">
        <v>35</v>
      </c>
      <c r="B185" s="3" t="s">
        <v>29</v>
      </c>
      <c r="C185" s="3" t="s">
        <v>30</v>
      </c>
      <c r="D185" s="3" t="s">
        <v>33</v>
      </c>
      <c r="E185" s="1" t="s">
        <v>36</v>
      </c>
      <c r="F185" s="1">
        <v>0</v>
      </c>
      <c r="G185" s="4">
        <v>0</v>
      </c>
      <c r="H185" s="5">
        <v>0</v>
      </c>
      <c r="I185" s="5">
        <v>0</v>
      </c>
      <c r="J185" s="5">
        <v>0</v>
      </c>
      <c r="K185" s="4">
        <f t="shared" si="21"/>
        <v>0</v>
      </c>
    </row>
    <row r="186" spans="1:11">
      <c r="A186" s="3" t="s">
        <v>35</v>
      </c>
      <c r="B186" s="3" t="s">
        <v>29</v>
      </c>
      <c r="C186" s="3" t="s">
        <v>30</v>
      </c>
      <c r="D186" s="3" t="s">
        <v>33</v>
      </c>
      <c r="E186" s="1" t="s">
        <v>22</v>
      </c>
      <c r="F186" s="1">
        <v>10</v>
      </c>
      <c r="G186" s="6">
        <v>3</v>
      </c>
      <c r="H186" s="5">
        <v>1</v>
      </c>
      <c r="I186" s="5">
        <v>0</v>
      </c>
      <c r="J186" s="5">
        <v>1</v>
      </c>
      <c r="K186" s="4">
        <f t="shared" si="21"/>
        <v>30</v>
      </c>
    </row>
    <row r="187" spans="1:11">
      <c r="A187" s="3" t="s">
        <v>35</v>
      </c>
      <c r="B187" s="3" t="s">
        <v>29</v>
      </c>
      <c r="C187" s="3" t="s">
        <v>30</v>
      </c>
      <c r="D187" s="3" t="s">
        <v>33</v>
      </c>
      <c r="E187" s="1" t="s">
        <v>23</v>
      </c>
      <c r="F187" s="1">
        <f>5+17+(8+2+8)+(6+5)</f>
        <v>51</v>
      </c>
      <c r="G187" s="4">
        <f>(3*1+4+1+4+2+2)/J187</f>
        <v>2</v>
      </c>
      <c r="H187" s="5">
        <v>3</v>
      </c>
      <c r="I187" s="5">
        <v>1</v>
      </c>
      <c r="J187" s="5">
        <v>8</v>
      </c>
      <c r="K187" s="4">
        <f t="shared" si="21"/>
        <v>102</v>
      </c>
    </row>
    <row r="188" spans="1:11">
      <c r="A188" s="3" t="s">
        <v>35</v>
      </c>
      <c r="B188" s="3" t="s">
        <v>29</v>
      </c>
      <c r="C188" s="3" t="s">
        <v>30</v>
      </c>
      <c r="D188" s="3" t="s">
        <v>33</v>
      </c>
      <c r="E188" s="1" t="s">
        <v>24</v>
      </c>
      <c r="F188" s="1">
        <v>0</v>
      </c>
      <c r="G188" s="5">
        <v>0</v>
      </c>
      <c r="H188" s="5">
        <v>0</v>
      </c>
      <c r="I188" s="5">
        <v>0</v>
      </c>
      <c r="J188" s="5">
        <v>0</v>
      </c>
      <c r="K188" s="4">
        <f t="shared" si="21"/>
        <v>0</v>
      </c>
    </row>
    <row r="189" spans="1:11">
      <c r="A189" s="3" t="s">
        <v>35</v>
      </c>
      <c r="B189" s="3" t="s">
        <v>29</v>
      </c>
      <c r="C189" s="3" t="s">
        <v>30</v>
      </c>
      <c r="D189" s="3" t="s">
        <v>32</v>
      </c>
      <c r="E189" s="1" t="s">
        <v>25</v>
      </c>
      <c r="F189" s="1">
        <v>216</v>
      </c>
      <c r="G189" s="4">
        <v>1.56</v>
      </c>
      <c r="H189" s="5"/>
      <c r="I189" s="5"/>
      <c r="J189" s="5"/>
      <c r="K189" s="4">
        <f>F189*G189</f>
        <v>336.96000000000004</v>
      </c>
    </row>
    <row r="190" spans="1:11">
      <c r="A190" s="3" t="s">
        <v>35</v>
      </c>
      <c r="B190" s="3" t="s">
        <v>29</v>
      </c>
      <c r="C190" s="3" t="s">
        <v>15</v>
      </c>
      <c r="D190" s="3" t="s">
        <v>32</v>
      </c>
      <c r="E190" s="1" t="s">
        <v>16</v>
      </c>
      <c r="F190" s="1">
        <v>0</v>
      </c>
      <c r="G190" s="4">
        <v>0</v>
      </c>
      <c r="H190" s="1">
        <v>0</v>
      </c>
      <c r="I190" s="1">
        <v>0</v>
      </c>
      <c r="J190" s="5">
        <v>0</v>
      </c>
      <c r="K190" s="4">
        <f t="shared" ref="K190:K191" si="22">F190*G190</f>
        <v>0</v>
      </c>
    </row>
    <row r="191" spans="1:11">
      <c r="A191" s="3" t="s">
        <v>35</v>
      </c>
      <c r="B191" s="3" t="s">
        <v>29</v>
      </c>
      <c r="C191" s="3" t="s">
        <v>15</v>
      </c>
      <c r="D191" s="3" t="s">
        <v>32</v>
      </c>
      <c r="E191" s="1" t="s">
        <v>17</v>
      </c>
      <c r="F191" s="1">
        <f>19+33</f>
        <v>52</v>
      </c>
      <c r="G191" s="5">
        <f>AVERAGE(3,6)</f>
        <v>4.5</v>
      </c>
      <c r="H191" s="5">
        <v>2</v>
      </c>
      <c r="I191" s="5">
        <v>0</v>
      </c>
      <c r="J191" s="5">
        <v>2</v>
      </c>
      <c r="K191" s="4">
        <f t="shared" si="22"/>
        <v>234</v>
      </c>
    </row>
    <row r="192" spans="1:11">
      <c r="A192" s="3" t="s">
        <v>35</v>
      </c>
      <c r="B192" s="3" t="s">
        <v>29</v>
      </c>
      <c r="C192" s="3" t="s">
        <v>15</v>
      </c>
      <c r="D192" s="3" t="s">
        <v>32</v>
      </c>
      <c r="E192" s="1" t="s">
        <v>18</v>
      </c>
      <c r="F192" s="1">
        <v>0</v>
      </c>
      <c r="G192" s="4">
        <v>0</v>
      </c>
      <c r="H192" s="1">
        <v>0</v>
      </c>
      <c r="I192" s="1">
        <v>0</v>
      </c>
      <c r="J192" s="5">
        <v>0</v>
      </c>
      <c r="K192" s="4">
        <f>F192*G192</f>
        <v>0</v>
      </c>
    </row>
    <row r="193" spans="1:11">
      <c r="A193" s="3" t="s">
        <v>35</v>
      </c>
      <c r="B193" s="3" t="s">
        <v>29</v>
      </c>
      <c r="C193" s="3" t="s">
        <v>15</v>
      </c>
      <c r="D193" s="3" t="s">
        <v>32</v>
      </c>
      <c r="E193" s="1" t="s">
        <v>19</v>
      </c>
      <c r="F193" s="1">
        <v>25</v>
      </c>
      <c r="G193" s="4">
        <v>1.5</v>
      </c>
      <c r="H193" s="5">
        <v>1</v>
      </c>
      <c r="I193" s="5">
        <v>0</v>
      </c>
      <c r="J193" s="5">
        <v>2</v>
      </c>
      <c r="K193" s="4">
        <f t="shared" ref="K193:K199" si="23">F193*G193</f>
        <v>37.5</v>
      </c>
    </row>
    <row r="194" spans="1:11">
      <c r="A194" s="3" t="s">
        <v>35</v>
      </c>
      <c r="B194" s="3" t="s">
        <v>29</v>
      </c>
      <c r="C194" s="3" t="s">
        <v>15</v>
      </c>
      <c r="D194" s="3" t="s">
        <v>33</v>
      </c>
      <c r="E194" s="1" t="s">
        <v>20</v>
      </c>
      <c r="F194" s="1">
        <v>0</v>
      </c>
      <c r="G194" s="4">
        <v>0</v>
      </c>
      <c r="H194" s="5">
        <v>0</v>
      </c>
      <c r="I194" s="5">
        <v>0</v>
      </c>
      <c r="J194" s="5">
        <v>0</v>
      </c>
      <c r="K194" s="4">
        <f t="shared" si="23"/>
        <v>0</v>
      </c>
    </row>
    <row r="195" spans="1:11">
      <c r="A195" s="3" t="s">
        <v>35</v>
      </c>
      <c r="B195" s="3" t="s">
        <v>29</v>
      </c>
      <c r="C195" s="3" t="s">
        <v>15</v>
      </c>
      <c r="D195" s="3" t="s">
        <v>33</v>
      </c>
      <c r="E195" s="1" t="s">
        <v>21</v>
      </c>
      <c r="F195" s="1">
        <v>0</v>
      </c>
      <c r="G195" s="4">
        <v>0</v>
      </c>
      <c r="H195" s="5">
        <v>0</v>
      </c>
      <c r="I195" s="5">
        <v>0</v>
      </c>
      <c r="J195" s="5">
        <v>0</v>
      </c>
      <c r="K195" s="4">
        <f t="shared" si="23"/>
        <v>0</v>
      </c>
    </row>
    <row r="196" spans="1:11">
      <c r="A196" s="3" t="s">
        <v>35</v>
      </c>
      <c r="B196" s="3" t="s">
        <v>29</v>
      </c>
      <c r="C196" s="3" t="s">
        <v>15</v>
      </c>
      <c r="D196" s="3" t="s">
        <v>33</v>
      </c>
      <c r="E196" s="1" t="s">
        <v>36</v>
      </c>
      <c r="F196" s="1">
        <f>60+8+188</f>
        <v>256</v>
      </c>
      <c r="G196" s="4">
        <f>(3*2.33+8*2.5)/J196</f>
        <v>2.4536363636363636</v>
      </c>
      <c r="H196" s="5">
        <v>2</v>
      </c>
      <c r="I196" s="5">
        <v>1</v>
      </c>
      <c r="J196" s="5">
        <v>11</v>
      </c>
      <c r="K196" s="4">
        <f t="shared" si="23"/>
        <v>628.13090909090909</v>
      </c>
    </row>
    <row r="197" spans="1:11">
      <c r="A197" s="3" t="s">
        <v>35</v>
      </c>
      <c r="B197" s="3" t="s">
        <v>29</v>
      </c>
      <c r="C197" s="3" t="s">
        <v>15</v>
      </c>
      <c r="D197" s="3" t="s">
        <v>33</v>
      </c>
      <c r="E197" s="1" t="s">
        <v>22</v>
      </c>
      <c r="F197" s="1">
        <f>129+83</f>
        <v>212</v>
      </c>
      <c r="G197" s="6">
        <f>(5*4+4*4.5)/J197</f>
        <v>4.2222222222222223</v>
      </c>
      <c r="H197" s="5">
        <v>2</v>
      </c>
      <c r="I197" s="5">
        <v>0</v>
      </c>
      <c r="J197" s="5">
        <v>9</v>
      </c>
      <c r="K197" s="4">
        <f t="shared" si="23"/>
        <v>895.11111111111109</v>
      </c>
    </row>
    <row r="198" spans="1:11">
      <c r="A198" s="3" t="s">
        <v>35</v>
      </c>
      <c r="B198" s="3" t="s">
        <v>29</v>
      </c>
      <c r="C198" s="3" t="s">
        <v>15</v>
      </c>
      <c r="D198" s="3" t="s">
        <v>33</v>
      </c>
      <c r="E198" s="1" t="s">
        <v>23</v>
      </c>
      <c r="F198" s="1">
        <v>164</v>
      </c>
      <c r="G198" s="4">
        <v>2.6</v>
      </c>
      <c r="H198" s="5">
        <v>1</v>
      </c>
      <c r="I198" s="5">
        <v>0</v>
      </c>
      <c r="J198" s="5">
        <v>15</v>
      </c>
      <c r="K198" s="4">
        <f t="shared" si="23"/>
        <v>426.40000000000003</v>
      </c>
    </row>
    <row r="199" spans="1:11">
      <c r="A199" s="3" t="s">
        <v>35</v>
      </c>
      <c r="B199" s="3" t="s">
        <v>29</v>
      </c>
      <c r="C199" s="3" t="s">
        <v>15</v>
      </c>
      <c r="D199" s="3" t="s">
        <v>33</v>
      </c>
      <c r="E199" s="1" t="s">
        <v>24</v>
      </c>
      <c r="F199" s="1">
        <v>166</v>
      </c>
      <c r="G199" s="5">
        <v>3</v>
      </c>
      <c r="H199" s="5">
        <v>2</v>
      </c>
      <c r="I199" s="5">
        <v>0</v>
      </c>
      <c r="J199" s="5">
        <v>13</v>
      </c>
      <c r="K199" s="4">
        <f t="shared" si="23"/>
        <v>498</v>
      </c>
    </row>
    <row r="200" spans="1:11">
      <c r="A200" s="3" t="s">
        <v>35</v>
      </c>
      <c r="B200" s="3" t="s">
        <v>29</v>
      </c>
      <c r="C200" s="3" t="s">
        <v>15</v>
      </c>
      <c r="D200" s="3" t="s">
        <v>33</v>
      </c>
      <c r="E200" s="1" t="s">
        <v>25</v>
      </c>
      <c r="F200" s="1">
        <v>0</v>
      </c>
      <c r="G200" s="4">
        <v>0</v>
      </c>
      <c r="H200" s="5"/>
      <c r="I200" s="5"/>
      <c r="J200" s="5"/>
      <c r="K200" s="4">
        <f>F200*G200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Infrastructures Benchmark T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2009-02-26T06:50:21Z</dcterms:created>
  <dcterms:modified xsi:type="dcterms:W3CDTF">2009-02-26T18:44:07Z</dcterms:modified>
</cp:coreProperties>
</file>